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tocks" sheetId="2" r:id="rId1"/>
  </sheets>
  <definedNames>
    <definedName name="_xlnm._FilterDatabase" localSheetId="0" hidden="1">Stocks!$A$2:$DB$300</definedName>
  </definedNames>
  <calcPr calcId="152511"/>
</workbook>
</file>

<file path=xl/calcChain.xml><?xml version="1.0" encoding="utf-8"?>
<calcChain xmlns="http://schemas.openxmlformats.org/spreadsheetml/2006/main">
  <c r="BT300" i="2" l="1"/>
  <c r="BO300" i="2"/>
  <c r="BI300" i="2"/>
  <c r="BE300" i="2"/>
  <c r="BB300" i="2"/>
  <c r="BT299" i="2"/>
  <c r="BO299" i="2"/>
  <c r="BI299" i="2"/>
  <c r="BE299" i="2"/>
  <c r="BB299" i="2"/>
  <c r="AY299" i="2"/>
  <c r="Z298" i="2"/>
  <c r="Y298" i="2"/>
  <c r="X298" i="2"/>
  <c r="V298" i="2"/>
  <c r="U298" i="2"/>
  <c r="S298" i="2"/>
  <c r="CR297" i="2"/>
  <c r="CP297" i="2"/>
  <c r="CN297" i="2"/>
  <c r="CL297" i="2"/>
  <c r="CV296" i="2"/>
  <c r="CR296" i="2"/>
  <c r="CP296" i="2"/>
  <c r="CN296" i="2"/>
  <c r="BR295" i="2"/>
  <c r="BI295" i="2"/>
  <c r="AY294" i="2"/>
  <c r="AX294" i="2"/>
  <c r="AW294" i="2"/>
  <c r="AV294" i="2"/>
  <c r="AT294" i="2"/>
  <c r="AS294" i="2"/>
  <c r="AR294" i="2"/>
  <c r="AQ294" i="2"/>
  <c r="BI293" i="2"/>
  <c r="BH293" i="2"/>
  <c r="BF293" i="2"/>
  <c r="BE293" i="2"/>
  <c r="BD293" i="2"/>
  <c r="BI292" i="2"/>
  <c r="BH292" i="2"/>
  <c r="BF292" i="2"/>
  <c r="BE292" i="2"/>
  <c r="BD292" i="2"/>
  <c r="BT291" i="2"/>
  <c r="BR291" i="2"/>
  <c r="BP291" i="2"/>
  <c r="BO291" i="2"/>
  <c r="BM291" i="2"/>
  <c r="BK291" i="2"/>
  <c r="BT290" i="2"/>
  <c r="BR290" i="2"/>
  <c r="BP290" i="2"/>
  <c r="BO290" i="2"/>
  <c r="BM290" i="2"/>
  <c r="BK290" i="2"/>
  <c r="BT289" i="2"/>
  <c r="BR289" i="2"/>
  <c r="BP289" i="2"/>
  <c r="BO289" i="2"/>
  <c r="BM289" i="2"/>
  <c r="BK289" i="2"/>
  <c r="BT288" i="2"/>
  <c r="BR288" i="2"/>
  <c r="BP288" i="2"/>
  <c r="BO288" i="2"/>
  <c r="BM288" i="2"/>
  <c r="BK288" i="2"/>
  <c r="BC287" i="2"/>
  <c r="BB287" i="2"/>
  <c r="BA287" i="2"/>
  <c r="AZ287" i="2"/>
  <c r="AY287" i="2"/>
  <c r="AX287" i="2"/>
  <c r="AW287" i="2"/>
  <c r="AV287" i="2"/>
  <c r="BT286" i="2"/>
  <c r="BR286" i="2"/>
  <c r="BP286" i="2"/>
  <c r="BO286" i="2"/>
  <c r="BM286" i="2"/>
  <c r="BK286" i="2"/>
  <c r="BT285" i="2"/>
  <c r="BR285" i="2"/>
  <c r="BP285" i="2"/>
  <c r="BO285" i="2"/>
  <c r="BM285" i="2"/>
  <c r="BK285" i="2"/>
  <c r="BC284" i="2"/>
  <c r="BB284" i="2"/>
  <c r="BA284" i="2"/>
  <c r="AZ284" i="2"/>
  <c r="AY284" i="2"/>
  <c r="AX284" i="2"/>
  <c r="AW284" i="2"/>
  <c r="AV284" i="2"/>
  <c r="BC283" i="2"/>
  <c r="BB283" i="2"/>
  <c r="BA283" i="2"/>
  <c r="AZ283" i="2"/>
  <c r="AY283" i="2"/>
  <c r="AX283" i="2"/>
  <c r="AW283" i="2"/>
  <c r="AV283" i="2"/>
  <c r="BC282" i="2"/>
  <c r="BB282" i="2"/>
  <c r="BA282" i="2"/>
  <c r="AZ282" i="2"/>
  <c r="AY282" i="2"/>
  <c r="AX282" i="2"/>
  <c r="AW282" i="2"/>
  <c r="AV282" i="2"/>
  <c r="BX281" i="2"/>
  <c r="CZ281" i="2" s="1"/>
  <c r="Y280" i="2"/>
  <c r="X280" i="2"/>
  <c r="V280" i="2"/>
  <c r="U280" i="2"/>
  <c r="T280" i="2"/>
  <c r="S280" i="2"/>
  <c r="X279" i="2"/>
  <c r="V279" i="2"/>
  <c r="U279" i="2"/>
  <c r="T279" i="2"/>
  <c r="S279" i="2"/>
  <c r="BE278" i="2"/>
  <c r="BD278" i="2"/>
  <c r="BC278" i="2"/>
  <c r="V277" i="2"/>
  <c r="U277" i="2"/>
  <c r="T277" i="2"/>
  <c r="S277" i="2"/>
  <c r="V276" i="2"/>
  <c r="U276" i="2"/>
  <c r="T276" i="2"/>
  <c r="S276" i="2"/>
  <c r="V275" i="2"/>
  <c r="U275" i="2"/>
  <c r="T275" i="2"/>
  <c r="S275" i="2"/>
  <c r="V274" i="2"/>
  <c r="U274" i="2"/>
  <c r="T274" i="2"/>
  <c r="S274" i="2"/>
  <c r="V273" i="2"/>
  <c r="U273" i="2"/>
  <c r="T273" i="2"/>
  <c r="S273" i="2"/>
  <c r="V272" i="2"/>
  <c r="U272" i="2"/>
  <c r="T272" i="2"/>
  <c r="S272" i="2"/>
  <c r="V271" i="2"/>
  <c r="U271" i="2"/>
  <c r="T271" i="2"/>
  <c r="S271" i="2"/>
  <c r="V270" i="2"/>
  <c r="U270" i="2"/>
  <c r="T270" i="2"/>
  <c r="S270" i="2"/>
  <c r="V269" i="2"/>
  <c r="U269" i="2"/>
  <c r="T269" i="2"/>
  <c r="S269" i="2"/>
  <c r="V268" i="2"/>
  <c r="U268" i="2"/>
  <c r="T268" i="2"/>
  <c r="S268" i="2"/>
  <c r="V267" i="2"/>
  <c r="U267" i="2"/>
  <c r="S267" i="2"/>
  <c r="V266" i="2"/>
  <c r="U266" i="2"/>
  <c r="T266" i="2"/>
  <c r="S266" i="2"/>
  <c r="V265" i="2"/>
  <c r="U265" i="2"/>
  <c r="T265" i="2"/>
  <c r="S265" i="2"/>
  <c r="V264" i="2"/>
  <c r="U264" i="2"/>
  <c r="T264" i="2"/>
  <c r="S264" i="2"/>
  <c r="V263" i="2"/>
  <c r="U263" i="2"/>
  <c r="T263" i="2"/>
  <c r="S263" i="2"/>
  <c r="V262" i="2"/>
  <c r="U262" i="2"/>
  <c r="T262" i="2"/>
  <c r="S262" i="2"/>
  <c r="S261" i="2"/>
  <c r="CZ261" i="2" s="1"/>
  <c r="T260" i="2"/>
  <c r="CZ260" i="2" s="1"/>
  <c r="V259" i="2"/>
  <c r="U259" i="2"/>
  <c r="T259" i="2"/>
  <c r="S259" i="2"/>
  <c r="V258" i="2"/>
  <c r="U258" i="2"/>
  <c r="T258" i="2"/>
  <c r="S258" i="2"/>
  <c r="V257" i="2"/>
  <c r="U257" i="2"/>
  <c r="T257" i="2"/>
  <c r="S257" i="2"/>
  <c r="V256" i="2"/>
  <c r="U256" i="2"/>
  <c r="T256" i="2"/>
  <c r="S256" i="2"/>
  <c r="V255" i="2"/>
  <c r="U255" i="2"/>
  <c r="T255" i="2"/>
  <c r="S255" i="2"/>
  <c r="V254" i="2"/>
  <c r="U254" i="2"/>
  <c r="T254" i="2"/>
  <c r="S254" i="2"/>
  <c r="V253" i="2"/>
  <c r="U253" i="2"/>
  <c r="T253" i="2"/>
  <c r="S253" i="2"/>
  <c r="BC252" i="2"/>
  <c r="BA252" i="2"/>
  <c r="AZ252" i="2"/>
  <c r="AY252" i="2"/>
  <c r="AX252" i="2"/>
  <c r="AW252" i="2"/>
  <c r="AV252" i="2"/>
  <c r="Y251" i="2"/>
  <c r="V251" i="2"/>
  <c r="U251" i="2"/>
  <c r="T251" i="2"/>
  <c r="S251" i="2"/>
  <c r="X250" i="2"/>
  <c r="V250" i="2"/>
  <c r="U250" i="2"/>
  <c r="T250" i="2"/>
  <c r="Y249" i="2"/>
  <c r="X249" i="2"/>
  <c r="V249" i="2"/>
  <c r="T249" i="2"/>
  <c r="S249" i="2"/>
  <c r="X248" i="2"/>
  <c r="V248" i="2"/>
  <c r="U248" i="2"/>
  <c r="T248" i="2"/>
  <c r="S248" i="2"/>
  <c r="Y247" i="2"/>
  <c r="X247" i="2"/>
  <c r="V247" i="2"/>
  <c r="U247" i="2"/>
  <c r="S247" i="2"/>
  <c r="X246" i="2"/>
  <c r="V246" i="2"/>
  <c r="U246" i="2"/>
  <c r="T246" i="2"/>
  <c r="S246" i="2"/>
  <c r="X245" i="2"/>
  <c r="V245" i="2"/>
  <c r="U245" i="2"/>
  <c r="T245" i="2"/>
  <c r="S245" i="2"/>
  <c r="Y244" i="2"/>
  <c r="X244" i="2"/>
  <c r="V244" i="2"/>
  <c r="U244" i="2"/>
  <c r="T244" i="2"/>
  <c r="S244" i="2"/>
  <c r="Y243" i="2"/>
  <c r="X243" i="2"/>
  <c r="V243" i="2"/>
  <c r="U243" i="2"/>
  <c r="T243" i="2"/>
  <c r="S243" i="2"/>
  <c r="Y242" i="2"/>
  <c r="V242" i="2"/>
  <c r="U242" i="2"/>
  <c r="T242" i="2"/>
  <c r="S242" i="2"/>
  <c r="Z241" i="2"/>
  <c r="Y241" i="2"/>
  <c r="V241" i="2"/>
  <c r="U241" i="2"/>
  <c r="T241" i="2"/>
  <c r="S241" i="2"/>
  <c r="X240" i="2"/>
  <c r="V240" i="2"/>
  <c r="U240" i="2"/>
  <c r="T240" i="2"/>
  <c r="S240" i="2"/>
  <c r="AY239" i="2"/>
  <c r="AX239" i="2"/>
  <c r="AW239" i="2"/>
  <c r="AV239" i="2"/>
  <c r="AS239" i="2"/>
  <c r="AR239" i="2"/>
  <c r="AQ239" i="2"/>
  <c r="BC238" i="2"/>
  <c r="BB238" i="2"/>
  <c r="BA238" i="2"/>
  <c r="AZ238" i="2"/>
  <c r="AY238" i="2"/>
  <c r="AW238" i="2"/>
  <c r="AV238" i="2"/>
  <c r="BT237" i="2"/>
  <c r="BR237" i="2"/>
  <c r="BP237" i="2"/>
  <c r="BO237" i="2"/>
  <c r="BM237" i="2"/>
  <c r="BK237" i="2"/>
  <c r="BI237" i="2"/>
  <c r="Y236" i="2"/>
  <c r="X236" i="2"/>
  <c r="V236" i="2"/>
  <c r="U236" i="2"/>
  <c r="T236" i="2"/>
  <c r="S236" i="2"/>
  <c r="BH235" i="2"/>
  <c r="BF235" i="2"/>
  <c r="BE235" i="2"/>
  <c r="BD235" i="2"/>
  <c r="BC234" i="2"/>
  <c r="BB234" i="2"/>
  <c r="BA234" i="2"/>
  <c r="AZ234" i="2"/>
  <c r="AY234" i="2"/>
  <c r="AX234" i="2"/>
  <c r="AW234" i="2"/>
  <c r="AV234" i="2"/>
  <c r="BH233" i="2"/>
  <c r="BF233" i="2"/>
  <c r="BE233" i="2"/>
  <c r="BD233" i="2"/>
  <c r="BT232" i="2"/>
  <c r="BR232" i="2"/>
  <c r="BP232" i="2"/>
  <c r="BO232" i="2"/>
  <c r="BM232" i="2"/>
  <c r="BK232" i="2"/>
  <c r="BI232" i="2"/>
  <c r="CB231" i="2"/>
  <c r="CZ231" i="2" s="1"/>
  <c r="CV230" i="2"/>
  <c r="CU230" i="2"/>
  <c r="CR230" i="2"/>
  <c r="CP230" i="2"/>
  <c r="CN230" i="2"/>
  <c r="CL230" i="2"/>
  <c r="CJ230" i="2"/>
  <c r="CV229" i="2"/>
  <c r="CU229" i="2"/>
  <c r="CR229" i="2"/>
  <c r="CP229" i="2"/>
  <c r="CN229" i="2"/>
  <c r="CL229" i="2"/>
  <c r="CJ229" i="2"/>
  <c r="BT228" i="2"/>
  <c r="BR228" i="2"/>
  <c r="BP228" i="2"/>
  <c r="BO228" i="2"/>
  <c r="BM228" i="2"/>
  <c r="BK228" i="2"/>
  <c r="BI228" i="2"/>
  <c r="BV227" i="2"/>
  <c r="BT227" i="2"/>
  <c r="BR227" i="2"/>
  <c r="BP227" i="2"/>
  <c r="BO227" i="2"/>
  <c r="BM227" i="2"/>
  <c r="BK227" i="2"/>
  <c r="BI227" i="2"/>
  <c r="BV226" i="2"/>
  <c r="BT226" i="2"/>
  <c r="BR226" i="2"/>
  <c r="BP226" i="2"/>
  <c r="BO226" i="2"/>
  <c r="BM226" i="2"/>
  <c r="BK226" i="2"/>
  <c r="BI226" i="2"/>
  <c r="BE225" i="2"/>
  <c r="BC225" i="2"/>
  <c r="BB225" i="2"/>
  <c r="BA225" i="2"/>
  <c r="AZ225" i="2"/>
  <c r="AW225" i="2"/>
  <c r="X224" i="2"/>
  <c r="V224" i="2"/>
  <c r="U224" i="2"/>
  <c r="T224" i="2"/>
  <c r="S224" i="2"/>
  <c r="Z223" i="2"/>
  <c r="Y223" i="2"/>
  <c r="X223" i="2"/>
  <c r="V223" i="2"/>
  <c r="U223" i="2"/>
  <c r="T223" i="2"/>
  <c r="S223" i="2"/>
  <c r="V222" i="2"/>
  <c r="U222" i="2"/>
  <c r="T222" i="2"/>
  <c r="S222" i="2"/>
  <c r="U221" i="2"/>
  <c r="T221" i="2"/>
  <c r="S221" i="2"/>
  <c r="U220" i="2"/>
  <c r="T220" i="2"/>
  <c r="S220" i="2"/>
  <c r="BH219" i="2"/>
  <c r="BF219" i="2"/>
  <c r="BE219" i="2"/>
  <c r="BC218" i="2"/>
  <c r="BB218" i="2"/>
  <c r="BA218" i="2"/>
  <c r="AZ218" i="2"/>
  <c r="AY218" i="2"/>
  <c r="AW218" i="2"/>
  <c r="BC217" i="2"/>
  <c r="BB217" i="2"/>
  <c r="BA217" i="2"/>
  <c r="AZ217" i="2"/>
  <c r="AY217" i="2"/>
  <c r="AX217" i="2"/>
  <c r="AW217" i="2"/>
  <c r="BH216" i="2"/>
  <c r="BF216" i="2"/>
  <c r="BE216" i="2"/>
  <c r="BD216" i="2"/>
  <c r="BH215" i="2"/>
  <c r="BF215" i="2"/>
  <c r="BE215" i="2"/>
  <c r="BD215" i="2"/>
  <c r="T214" i="2"/>
  <c r="S214" i="2"/>
  <c r="BT213" i="2"/>
  <c r="BR213" i="2"/>
  <c r="BP213" i="2"/>
  <c r="BO213" i="2"/>
  <c r="BM213" i="2"/>
  <c r="BI213" i="2"/>
  <c r="V212" i="2"/>
  <c r="U212" i="2"/>
  <c r="T212" i="2"/>
  <c r="S212" i="2"/>
  <c r="X211" i="2"/>
  <c r="U211" i="2"/>
  <c r="T211" i="2"/>
  <c r="S211" i="2"/>
  <c r="CV210" i="2"/>
  <c r="CU210" i="2"/>
  <c r="CR210" i="2"/>
  <c r="CP210" i="2"/>
  <c r="CN210" i="2"/>
  <c r="CM210" i="2"/>
  <c r="CV209" i="2"/>
  <c r="CU209" i="2"/>
  <c r="CM209" i="2"/>
  <c r="CL209" i="2"/>
  <c r="CV208" i="2"/>
  <c r="CU208" i="2"/>
  <c r="CR208" i="2"/>
  <c r="CP208" i="2"/>
  <c r="CN208" i="2"/>
  <c r="CM208" i="2"/>
  <c r="CL208" i="2"/>
  <c r="CV207" i="2"/>
  <c r="CU207" i="2"/>
  <c r="CR207" i="2"/>
  <c r="CP207" i="2"/>
  <c r="CN207" i="2"/>
  <c r="CM207" i="2"/>
  <c r="CL207" i="2"/>
  <c r="Y206" i="2"/>
  <c r="CZ206" i="2" s="1"/>
  <c r="Z205" i="2"/>
  <c r="Y205" i="2"/>
  <c r="X205" i="2"/>
  <c r="V205" i="2"/>
  <c r="U205" i="2"/>
  <c r="T205" i="2"/>
  <c r="S205" i="2"/>
  <c r="CU204" i="2"/>
  <c r="CR204" i="2"/>
  <c r="CP204" i="2"/>
  <c r="CN204" i="2"/>
  <c r="CL204" i="2"/>
  <c r="Z203" i="2"/>
  <c r="Y203" i="2"/>
  <c r="X203" i="2"/>
  <c r="V203" i="2"/>
  <c r="U203" i="2"/>
  <c r="T203" i="2"/>
  <c r="S203" i="2"/>
  <c r="CU202" i="2"/>
  <c r="CR202" i="2"/>
  <c r="CP202" i="2"/>
  <c r="CN202" i="2"/>
  <c r="CL202" i="2"/>
  <c r="Z201" i="2"/>
  <c r="Y201" i="2"/>
  <c r="X201" i="2"/>
  <c r="V201" i="2"/>
  <c r="U201" i="2"/>
  <c r="T201" i="2"/>
  <c r="S201" i="2"/>
  <c r="R200" i="2"/>
  <c r="P200" i="2"/>
  <c r="N200" i="2"/>
  <c r="X199" i="2"/>
  <c r="V199" i="2"/>
  <c r="X198" i="2"/>
  <c r="V198" i="2"/>
  <c r="U198" i="2"/>
  <c r="T198" i="2"/>
  <c r="S198" i="2"/>
  <c r="T197" i="2"/>
  <c r="S197" i="2"/>
  <c r="R197" i="2"/>
  <c r="V196" i="2"/>
  <c r="U196" i="2"/>
  <c r="T196" i="2"/>
  <c r="S196" i="2"/>
  <c r="U195" i="2"/>
  <c r="T195" i="2"/>
  <c r="S195" i="2"/>
  <c r="R195" i="2"/>
  <c r="CV194" i="2"/>
  <c r="CU194" i="2"/>
  <c r="CR194" i="2"/>
  <c r="CP194" i="2"/>
  <c r="CN194" i="2"/>
  <c r="CV193" i="2"/>
  <c r="CU193" i="2"/>
  <c r="CR193" i="2"/>
  <c r="CP193" i="2"/>
  <c r="CN193" i="2"/>
  <c r="Y192" i="2"/>
  <c r="X192" i="2"/>
  <c r="V192" i="2"/>
  <c r="U192" i="2"/>
  <c r="T192" i="2"/>
  <c r="S192" i="2"/>
  <c r="Y191" i="2"/>
  <c r="X191" i="2"/>
  <c r="V191" i="2"/>
  <c r="U191" i="2"/>
  <c r="T191" i="2"/>
  <c r="S191" i="2"/>
  <c r="Y190" i="2"/>
  <c r="X190" i="2"/>
  <c r="V190" i="2"/>
  <c r="U190" i="2"/>
  <c r="T190" i="2"/>
  <c r="S190" i="2"/>
  <c r="Y189" i="2"/>
  <c r="X189" i="2"/>
  <c r="V189" i="2"/>
  <c r="U189" i="2"/>
  <c r="T189" i="2"/>
  <c r="S189" i="2"/>
  <c r="Y188" i="2"/>
  <c r="W188" i="2"/>
  <c r="V188" i="2"/>
  <c r="U188" i="2"/>
  <c r="T188" i="2"/>
  <c r="S188" i="2"/>
  <c r="BC187" i="2"/>
  <c r="BB187" i="2"/>
  <c r="BA187" i="2"/>
  <c r="AZ187" i="2"/>
  <c r="AY187" i="2"/>
  <c r="AX187" i="2"/>
  <c r="AW187" i="2"/>
  <c r="AV187" i="2"/>
  <c r="BH186" i="2"/>
  <c r="BF186" i="2"/>
  <c r="BE186" i="2"/>
  <c r="BD186" i="2"/>
  <c r="BI185" i="2"/>
  <c r="BH185" i="2"/>
  <c r="BF185" i="2"/>
  <c r="BE185" i="2"/>
  <c r="BD185" i="2"/>
  <c r="BI184" i="2"/>
  <c r="BH184" i="2"/>
  <c r="BF184" i="2"/>
  <c r="BE184" i="2"/>
  <c r="BD184" i="2"/>
  <c r="BI183" i="2"/>
  <c r="BH183" i="2"/>
  <c r="BF183" i="2"/>
  <c r="BE183" i="2"/>
  <c r="BD183" i="2"/>
  <c r="BT182" i="2"/>
  <c r="BR182" i="2"/>
  <c r="BP182" i="2"/>
  <c r="BO182" i="2"/>
  <c r="BM182" i="2"/>
  <c r="BK182" i="2"/>
  <c r="BI182" i="2"/>
  <c r="BT181" i="2"/>
  <c r="BR181" i="2"/>
  <c r="BP181" i="2"/>
  <c r="BO181" i="2"/>
  <c r="BM181" i="2"/>
  <c r="BK181" i="2"/>
  <c r="BI181" i="2"/>
  <c r="BT180" i="2"/>
  <c r="BR180" i="2"/>
  <c r="BP180" i="2"/>
  <c r="BO180" i="2"/>
  <c r="BM180" i="2"/>
  <c r="BK180" i="2"/>
  <c r="BI180" i="2"/>
  <c r="BX179" i="2"/>
  <c r="CZ179" i="2" s="1"/>
  <c r="T178" i="2"/>
  <c r="S178" i="2"/>
  <c r="V177" i="2"/>
  <c r="U177" i="2"/>
  <c r="T177" i="2"/>
  <c r="S177" i="2"/>
  <c r="T176" i="2"/>
  <c r="S176" i="2"/>
  <c r="U175" i="2"/>
  <c r="T175" i="2"/>
  <c r="S175" i="2"/>
  <c r="T174" i="2"/>
  <c r="S174" i="2"/>
  <c r="U173" i="2"/>
  <c r="T173" i="2"/>
  <c r="S173" i="2"/>
  <c r="T172" i="2"/>
  <c r="S172" i="2"/>
  <c r="S171" i="2"/>
  <c r="CZ171" i="2" s="1"/>
  <c r="T170" i="2"/>
  <c r="S170" i="2"/>
  <c r="BX169" i="2"/>
  <c r="CZ169" i="2" s="1"/>
  <c r="BH168" i="2"/>
  <c r="BE168" i="2"/>
  <c r="BD168" i="2"/>
  <c r="BF167" i="2"/>
  <c r="BE167" i="2"/>
  <c r="BD167" i="2"/>
  <c r="S166" i="2"/>
  <c r="CZ166" i="2" s="1"/>
  <c r="BT165" i="2"/>
  <c r="BR165" i="2"/>
  <c r="BP165" i="2"/>
  <c r="BO165" i="2"/>
  <c r="BM165" i="2"/>
  <c r="BK165" i="2"/>
  <c r="BI165" i="2"/>
  <c r="Y164" i="2"/>
  <c r="X164" i="2"/>
  <c r="V164" i="2"/>
  <c r="U164" i="2"/>
  <c r="T164" i="2"/>
  <c r="S164" i="2"/>
  <c r="Y163" i="2"/>
  <c r="X163" i="2"/>
  <c r="U163" i="2"/>
  <c r="T163" i="2"/>
  <c r="S163" i="2"/>
  <c r="X162" i="2"/>
  <c r="V162" i="2"/>
  <c r="U162" i="2"/>
  <c r="T162" i="2"/>
  <c r="S162" i="2"/>
  <c r="BT161" i="2"/>
  <c r="BR161" i="2"/>
  <c r="BP161" i="2"/>
  <c r="BO161" i="2"/>
  <c r="BM161" i="2"/>
  <c r="BK161" i="2"/>
  <c r="BC160" i="2"/>
  <c r="BB160" i="2"/>
  <c r="BA160" i="2"/>
  <c r="AZ160" i="2"/>
  <c r="AY160" i="2"/>
  <c r="AW160" i="2"/>
  <c r="AV160" i="2"/>
  <c r="BT159" i="2"/>
  <c r="BR159" i="2"/>
  <c r="BP159" i="2"/>
  <c r="BI159" i="2"/>
  <c r="BR158" i="2"/>
  <c r="BP158" i="2"/>
  <c r="BO158" i="2"/>
  <c r="BM158" i="2"/>
  <c r="BK158" i="2"/>
  <c r="BI158" i="2"/>
  <c r="Y157" i="2"/>
  <c r="T157" i="2"/>
  <c r="S157" i="2"/>
  <c r="S156" i="2"/>
  <c r="CZ156" i="2" s="1"/>
  <c r="X155" i="2"/>
  <c r="V155" i="2"/>
  <c r="U155" i="2"/>
  <c r="T155" i="2"/>
  <c r="S155" i="2"/>
  <c r="Y154" i="2"/>
  <c r="X154" i="2"/>
  <c r="V154" i="2"/>
  <c r="U154" i="2"/>
  <c r="T154" i="2"/>
  <c r="S154" i="2"/>
  <c r="Y153" i="2"/>
  <c r="X153" i="2"/>
  <c r="V153" i="2"/>
  <c r="U153" i="2"/>
  <c r="T153" i="2"/>
  <c r="S153" i="2"/>
  <c r="T152" i="2"/>
  <c r="S152" i="2"/>
  <c r="V151" i="2"/>
  <c r="U151" i="2"/>
  <c r="T151" i="2"/>
  <c r="S151" i="2"/>
  <c r="T150" i="2"/>
  <c r="S150" i="2"/>
  <c r="X149" i="2"/>
  <c r="V149" i="2"/>
  <c r="U149" i="2"/>
  <c r="T148" i="2"/>
  <c r="S148" i="2"/>
  <c r="U147" i="2"/>
  <c r="T147" i="2"/>
  <c r="S147" i="2"/>
  <c r="CZ147" i="2" s="1"/>
  <c r="X146" i="2"/>
  <c r="V146" i="2"/>
  <c r="U146" i="2"/>
  <c r="T146" i="2"/>
  <c r="S146" i="2"/>
  <c r="Y145" i="2"/>
  <c r="U145" i="2"/>
  <c r="T145" i="2"/>
  <c r="S145" i="2"/>
  <c r="V144" i="2"/>
  <c r="T144" i="2"/>
  <c r="Y143" i="2"/>
  <c r="X143" i="2"/>
  <c r="V143" i="2"/>
  <c r="U143" i="2"/>
  <c r="T143" i="2"/>
  <c r="S143" i="2"/>
  <c r="BC142" i="2"/>
  <c r="BB142" i="2"/>
  <c r="BA142" i="2"/>
  <c r="AZ142" i="2"/>
  <c r="AY142" i="2"/>
  <c r="AX142" i="2"/>
  <c r="AW142" i="2"/>
  <c r="AV142" i="2"/>
  <c r="BC141" i="2"/>
  <c r="BB141" i="2"/>
  <c r="BA141" i="2"/>
  <c r="AZ141" i="2"/>
  <c r="AY141" i="2"/>
  <c r="AX141" i="2"/>
  <c r="AW141" i="2"/>
  <c r="AV141" i="2"/>
  <c r="BH140" i="2"/>
  <c r="BF140" i="2"/>
  <c r="BE140" i="2"/>
  <c r="BD140" i="2"/>
  <c r="BH139" i="2"/>
  <c r="BF139" i="2"/>
  <c r="BE139" i="2"/>
  <c r="BD139" i="2"/>
  <c r="BC138" i="2"/>
  <c r="BB138" i="2"/>
  <c r="BA138" i="2"/>
  <c r="AZ138" i="2"/>
  <c r="AY138" i="2"/>
  <c r="AX138" i="2"/>
  <c r="AW138" i="2"/>
  <c r="AV138" i="2"/>
  <c r="BH137" i="2"/>
  <c r="BF137" i="2"/>
  <c r="BE137" i="2"/>
  <c r="BD137" i="2"/>
  <c r="BV136" i="2"/>
  <c r="BT136" i="2"/>
  <c r="BR136" i="2"/>
  <c r="BP136" i="2"/>
  <c r="BO136" i="2"/>
  <c r="BM136" i="2"/>
  <c r="BK136" i="2"/>
  <c r="BI136" i="2"/>
  <c r="X135" i="2"/>
  <c r="V135" i="2"/>
  <c r="U135" i="2"/>
  <c r="T135" i="2"/>
  <c r="S135" i="2"/>
  <c r="Y134" i="2"/>
  <c r="X134" i="2"/>
  <c r="V134" i="2"/>
  <c r="U134" i="2"/>
  <c r="T134" i="2"/>
  <c r="S134" i="2"/>
  <c r="CT133" i="2"/>
  <c r="CS133" i="2"/>
  <c r="CQ133" i="2"/>
  <c r="CO133" i="2"/>
  <c r="X132" i="2"/>
  <c r="V132" i="2"/>
  <c r="U132" i="2"/>
  <c r="T132" i="2"/>
  <c r="S132" i="2"/>
  <c r="CT131" i="2"/>
  <c r="CS131" i="2"/>
  <c r="CQ131" i="2"/>
  <c r="CO131" i="2"/>
  <c r="Y130" i="2"/>
  <c r="X130" i="2"/>
  <c r="V130" i="2"/>
  <c r="Y129" i="2"/>
  <c r="X129" i="2"/>
  <c r="V129" i="2"/>
  <c r="X128" i="2"/>
  <c r="V128" i="2"/>
  <c r="T128" i="2"/>
  <c r="S128" i="2"/>
  <c r="V127" i="2"/>
  <c r="U127" i="2"/>
  <c r="T127" i="2"/>
  <c r="S127" i="2"/>
  <c r="Z126" i="2"/>
  <c r="Y126" i="2"/>
  <c r="X126" i="2"/>
  <c r="BF125" i="2"/>
  <c r="BE125" i="2"/>
  <c r="BD125" i="2"/>
  <c r="X124" i="2"/>
  <c r="V124" i="2"/>
  <c r="U124" i="2"/>
  <c r="T124" i="2"/>
  <c r="S124" i="2"/>
  <c r="CR123" i="2"/>
  <c r="CP123" i="2"/>
  <c r="CN123" i="2"/>
  <c r="Y122" i="2"/>
  <c r="X122" i="2"/>
  <c r="V122" i="2"/>
  <c r="U122" i="2"/>
  <c r="T122" i="2"/>
  <c r="S122" i="2"/>
  <c r="Y121" i="2"/>
  <c r="X121" i="2"/>
  <c r="V121" i="2"/>
  <c r="U121" i="2"/>
  <c r="T121" i="2"/>
  <c r="CR120" i="2"/>
  <c r="CP120" i="2"/>
  <c r="CN120" i="2"/>
  <c r="CU119" i="2"/>
  <c r="CR119" i="2"/>
  <c r="CP119" i="2"/>
  <c r="CN119" i="2"/>
  <c r="CM119" i="2"/>
  <c r="CL119" i="2"/>
  <c r="CP118" i="2"/>
  <c r="CN118" i="2"/>
  <c r="CP117" i="2"/>
  <c r="CN117" i="2"/>
  <c r="CP116" i="2"/>
  <c r="CN116" i="2"/>
  <c r="CP115" i="2"/>
  <c r="CZ115" i="2" s="1"/>
  <c r="BC114" i="2"/>
  <c r="BB114" i="2"/>
  <c r="BA114" i="2"/>
  <c r="AZ114" i="2"/>
  <c r="AY114" i="2"/>
  <c r="AX114" i="2"/>
  <c r="AW114" i="2"/>
  <c r="AV114" i="2"/>
  <c r="X113" i="2"/>
  <c r="S113" i="2"/>
  <c r="X112" i="2"/>
  <c r="V112" i="2"/>
  <c r="U112" i="2"/>
  <c r="T112" i="2"/>
  <c r="S112" i="2"/>
  <c r="X111" i="2"/>
  <c r="V111" i="2"/>
  <c r="U111" i="2"/>
  <c r="T111" i="2"/>
  <c r="S111" i="2"/>
  <c r="X110" i="2"/>
  <c r="V110" i="2"/>
  <c r="U110" i="2"/>
  <c r="T110" i="2"/>
  <c r="S110" i="2"/>
  <c r="BC109" i="2"/>
  <c r="BB109" i="2"/>
  <c r="BA109" i="2"/>
  <c r="AZ109" i="2"/>
  <c r="AY109" i="2"/>
  <c r="AX109" i="2"/>
  <c r="AW109" i="2"/>
  <c r="BV108" i="2"/>
  <c r="BP108" i="2"/>
  <c r="BO108" i="2"/>
  <c r="BK108" i="2"/>
  <c r="BI108" i="2"/>
  <c r="BC107" i="2"/>
  <c r="BB107" i="2"/>
  <c r="BA107" i="2"/>
  <c r="AZ107" i="2"/>
  <c r="AY107" i="2"/>
  <c r="AX107" i="2"/>
  <c r="AW107" i="2"/>
  <c r="AV107" i="2"/>
  <c r="T106" i="2"/>
  <c r="S106" i="2"/>
  <c r="R106" i="2"/>
  <c r="U105" i="2"/>
  <c r="T105" i="2"/>
  <c r="S105" i="2"/>
  <c r="R105" i="2"/>
  <c r="X104" i="2"/>
  <c r="V104" i="2"/>
  <c r="U104" i="2"/>
  <c r="T104" i="2"/>
  <c r="S104" i="2"/>
  <c r="R104" i="2"/>
  <c r="T103" i="2"/>
  <c r="S103" i="2"/>
  <c r="U102" i="2"/>
  <c r="T102" i="2"/>
  <c r="S102" i="2"/>
  <c r="R102" i="2"/>
  <c r="U101" i="2"/>
  <c r="T101" i="2"/>
  <c r="S101" i="2"/>
  <c r="AW100" i="2"/>
  <c r="AV100" i="2"/>
  <c r="AT100" i="2"/>
  <c r="AS100" i="2"/>
  <c r="AR100" i="2"/>
  <c r="AQ100" i="2"/>
  <c r="BC99" i="2"/>
  <c r="BB99" i="2"/>
  <c r="BA99" i="2"/>
  <c r="AZ99" i="2"/>
  <c r="AY99" i="2"/>
  <c r="AX99" i="2"/>
  <c r="AW99" i="2"/>
  <c r="AV99" i="2"/>
  <c r="BT98" i="2"/>
  <c r="BR98" i="2"/>
  <c r="BP98" i="2"/>
  <c r="BO98" i="2"/>
  <c r="BM98" i="2"/>
  <c r="BK98" i="2"/>
  <c r="CV97" i="2"/>
  <c r="CR97" i="2"/>
  <c r="CP97" i="2"/>
  <c r="CN97" i="2"/>
  <c r="S96" i="2"/>
  <c r="CZ96" i="2" s="1"/>
  <c r="CU95" i="2"/>
  <c r="CR95" i="2"/>
  <c r="CP95" i="2"/>
  <c r="CN95" i="2"/>
  <c r="CL95" i="2"/>
  <c r="CM94" i="2"/>
  <c r="CZ94" i="2" s="1"/>
  <c r="S93" i="2"/>
  <c r="R93" i="2"/>
  <c r="S92" i="2"/>
  <c r="R92" i="2"/>
  <c r="BX91" i="2"/>
  <c r="CZ91" i="2" s="1"/>
  <c r="S90" i="2"/>
  <c r="CZ90" i="2" s="1"/>
  <c r="S89" i="2"/>
  <c r="CZ89" i="2" s="1"/>
  <c r="S88" i="2"/>
  <c r="CZ88" i="2" s="1"/>
  <c r="W87" i="2"/>
  <c r="V87" i="2"/>
  <c r="U87" i="2"/>
  <c r="T87" i="2"/>
  <c r="S87" i="2"/>
  <c r="S86" i="2"/>
  <c r="CZ86" i="2" s="1"/>
  <c r="U85" i="2"/>
  <c r="S85" i="2"/>
  <c r="T84" i="2"/>
  <c r="S84" i="2"/>
  <c r="S83" i="2"/>
  <c r="CZ83" i="2" s="1"/>
  <c r="CP82" i="2"/>
  <c r="CN82" i="2"/>
  <c r="CP81" i="2"/>
  <c r="CN81" i="2"/>
  <c r="Y80" i="2"/>
  <c r="X80" i="2"/>
  <c r="V80" i="2"/>
  <c r="U80" i="2"/>
  <c r="S80" i="2"/>
  <c r="T79" i="2"/>
  <c r="S79" i="2"/>
  <c r="S78" i="2"/>
  <c r="CZ78" i="2" s="1"/>
  <c r="T77" i="2"/>
  <c r="S77" i="2"/>
  <c r="T76" i="2"/>
  <c r="S76" i="2"/>
  <c r="V75" i="2"/>
  <c r="U75" i="2"/>
  <c r="T75" i="2"/>
  <c r="S75" i="2"/>
  <c r="U74" i="2"/>
  <c r="T74" i="2"/>
  <c r="S74" i="2"/>
  <c r="R74" i="2"/>
  <c r="V73" i="2"/>
  <c r="U73" i="2"/>
  <c r="T73" i="2"/>
  <c r="S73" i="2"/>
  <c r="V72" i="2"/>
  <c r="U72" i="2"/>
  <c r="T72" i="2"/>
  <c r="S72" i="2"/>
  <c r="R72" i="2"/>
  <c r="CL71" i="2"/>
  <c r="CZ71" i="2" s="1"/>
  <c r="CR70" i="2"/>
  <c r="CP70" i="2"/>
  <c r="CN70" i="2"/>
  <c r="S69" i="2"/>
  <c r="CZ69" i="2" s="1"/>
  <c r="X68" i="2"/>
  <c r="V68" i="2"/>
  <c r="U68" i="2"/>
  <c r="T68" i="2"/>
  <c r="S68" i="2"/>
  <c r="S67" i="2"/>
  <c r="CZ67" i="2" s="1"/>
  <c r="CU66" i="2"/>
  <c r="CR66" i="2"/>
  <c r="CP66" i="2"/>
  <c r="CN66" i="2"/>
  <c r="CL66" i="2"/>
  <c r="CU65" i="2"/>
  <c r="CR65" i="2"/>
  <c r="CN65" i="2"/>
  <c r="CL65" i="2"/>
  <c r="CI64" i="2"/>
  <c r="CZ64" i="2" s="1"/>
  <c r="CH63" i="2"/>
  <c r="CG63" i="2"/>
  <c r="CF63" i="2"/>
  <c r="CE63" i="2"/>
  <c r="CH62" i="2"/>
  <c r="CG62" i="2"/>
  <c r="CF62" i="2"/>
  <c r="CE62" i="2"/>
  <c r="CF61" i="2"/>
  <c r="CZ61" i="2" s="1"/>
  <c r="CH60" i="2"/>
  <c r="CG60" i="2"/>
  <c r="CF60" i="2"/>
  <c r="CE60" i="2"/>
  <c r="X59" i="2"/>
  <c r="V59" i="2"/>
  <c r="U59" i="2"/>
  <c r="T59" i="2"/>
  <c r="S59" i="2"/>
  <c r="Y58" i="2"/>
  <c r="X58" i="2"/>
  <c r="V58" i="2"/>
  <c r="U58" i="2"/>
  <c r="T58" i="2"/>
  <c r="S58" i="2"/>
  <c r="X57" i="2"/>
  <c r="V57" i="2"/>
  <c r="U57" i="2"/>
  <c r="T57" i="2"/>
  <c r="S57" i="2"/>
  <c r="CU56" i="2"/>
  <c r="CR56" i="2"/>
  <c r="CP56" i="2"/>
  <c r="CN56" i="2"/>
  <c r="CU55" i="2"/>
  <c r="CR55" i="2"/>
  <c r="CP55" i="2"/>
  <c r="CN55" i="2"/>
  <c r="CV54" i="2"/>
  <c r="CU54" i="2"/>
  <c r="CR54" i="2"/>
  <c r="CP54" i="2"/>
  <c r="CN54" i="2"/>
  <c r="CM54" i="2"/>
  <c r="CL54" i="2"/>
  <c r="X53" i="2"/>
  <c r="S53" i="2"/>
  <c r="S52" i="2"/>
  <c r="CZ52" i="2" s="1"/>
  <c r="CV51" i="2"/>
  <c r="CU51" i="2"/>
  <c r="CV50" i="2"/>
  <c r="CU50" i="2"/>
  <c r="S49" i="2"/>
  <c r="CZ49" i="2" s="1"/>
  <c r="S48" i="2"/>
  <c r="CZ48" i="2" s="1"/>
  <c r="S47" i="2"/>
  <c r="CZ47" i="2" s="1"/>
  <c r="CV46" i="2"/>
  <c r="CZ46" i="2" s="1"/>
  <c r="CV45" i="2"/>
  <c r="CZ45" i="2" s="1"/>
  <c r="X44" i="2"/>
  <c r="V44" i="2"/>
  <c r="U44" i="2"/>
  <c r="T44" i="2"/>
  <c r="S44" i="2"/>
  <c r="R44" i="2"/>
  <c r="V43" i="2"/>
  <c r="U43" i="2"/>
  <c r="S43" i="2"/>
  <c r="X42" i="2"/>
  <c r="V42" i="2"/>
  <c r="U42" i="2"/>
  <c r="T42" i="2"/>
  <c r="S42" i="2"/>
  <c r="S41" i="2"/>
  <c r="R41" i="2"/>
  <c r="U40" i="2"/>
  <c r="T40" i="2"/>
  <c r="V39" i="2"/>
  <c r="T39" i="2"/>
  <c r="S39" i="2"/>
  <c r="R39" i="2"/>
  <c r="S38" i="2"/>
  <c r="R38" i="2"/>
  <c r="W37" i="2"/>
  <c r="V37" i="2"/>
  <c r="T37" i="2"/>
  <c r="S37" i="2"/>
  <c r="Y36" i="2"/>
  <c r="X36" i="2"/>
  <c r="CU35" i="2"/>
  <c r="CP35" i="2"/>
  <c r="CN35" i="2"/>
  <c r="CU34" i="2"/>
  <c r="CP34" i="2"/>
  <c r="V33" i="2"/>
  <c r="CZ33" i="2" s="1"/>
  <c r="CU32" i="2"/>
  <c r="CZ32" i="2" s="1"/>
  <c r="W31" i="2"/>
  <c r="V31" i="2"/>
  <c r="U31" i="2"/>
  <c r="T31" i="2"/>
  <c r="S31" i="2"/>
  <c r="CU30" i="2"/>
  <c r="CZ30" i="2" s="1"/>
  <c r="CT29" i="2"/>
  <c r="CS29" i="2"/>
  <c r="CQ29" i="2"/>
  <c r="CO29" i="2"/>
  <c r="CU28" i="2"/>
  <c r="CR28" i="2"/>
  <c r="W27" i="2"/>
  <c r="V27" i="2"/>
  <c r="U27" i="2"/>
  <c r="T27" i="2"/>
  <c r="S27" i="2"/>
  <c r="W26" i="2"/>
  <c r="V26" i="2"/>
  <c r="U26" i="2"/>
  <c r="T26" i="2"/>
  <c r="S26" i="2"/>
  <c r="V25" i="2"/>
  <c r="U25" i="2"/>
  <c r="T25" i="2"/>
  <c r="S25" i="2"/>
  <c r="W24" i="2"/>
  <c r="V24" i="2"/>
  <c r="U24" i="2"/>
  <c r="T24" i="2"/>
  <c r="S24" i="2"/>
  <c r="W23" i="2"/>
  <c r="V23" i="2"/>
  <c r="T23" i="2"/>
  <c r="S23" i="2"/>
  <c r="CU22" i="2"/>
  <c r="CR22" i="2"/>
  <c r="CP22" i="2"/>
  <c r="CN22" i="2"/>
  <c r="CL22" i="2"/>
  <c r="CU21" i="2"/>
  <c r="CR21" i="2"/>
  <c r="CP21" i="2"/>
  <c r="CN21" i="2"/>
  <c r="CL21" i="2"/>
  <c r="CU20" i="2"/>
  <c r="CR20" i="2"/>
  <c r="CP20" i="2"/>
  <c r="CN20" i="2"/>
  <c r="CL20" i="2"/>
  <c r="CU19" i="2"/>
  <c r="CR19" i="2"/>
  <c r="CP19" i="2"/>
  <c r="CN19" i="2"/>
  <c r="CL19" i="2"/>
  <c r="CU18" i="2"/>
  <c r="CR18" i="2"/>
  <c r="CP18" i="2"/>
  <c r="CN18" i="2"/>
  <c r="CL18" i="2"/>
  <c r="U17" i="2"/>
  <c r="CZ17" i="2" s="1"/>
  <c r="W16" i="2"/>
  <c r="V16" i="2"/>
  <c r="U16" i="2"/>
  <c r="T16" i="2"/>
  <c r="S16" i="2"/>
  <c r="W15" i="2"/>
  <c r="S15" i="2"/>
  <c r="W14" i="2"/>
  <c r="V14" i="2"/>
  <c r="U14" i="2"/>
  <c r="T14" i="2"/>
  <c r="S14" i="2"/>
  <c r="W13" i="2"/>
  <c r="U13" i="2"/>
  <c r="T13" i="2"/>
  <c r="S13" i="2"/>
  <c r="W12" i="2"/>
  <c r="V12" i="2"/>
  <c r="U12" i="2"/>
  <c r="T12" i="2"/>
  <c r="S12" i="2"/>
  <c r="W11" i="2"/>
  <c r="V11" i="2"/>
  <c r="U11" i="2"/>
  <c r="T11" i="2"/>
  <c r="W10" i="2"/>
  <c r="V10" i="2"/>
  <c r="U10" i="2"/>
  <c r="T10" i="2"/>
  <c r="S10" i="2"/>
  <c r="W9" i="2"/>
  <c r="V9" i="2"/>
  <c r="U9" i="2"/>
  <c r="T9" i="2"/>
  <c r="S9" i="2"/>
  <c r="W8" i="2"/>
  <c r="V8" i="2"/>
  <c r="U8" i="2"/>
  <c r="T8" i="2"/>
  <c r="S8" i="2"/>
  <c r="BF7" i="2"/>
  <c r="CZ7" i="2" s="1"/>
  <c r="BP6" i="2"/>
  <c r="BK6" i="2"/>
  <c r="CZ6" i="2" s="1"/>
  <c r="CW5" i="2"/>
  <c r="CZ5" i="2" s="1"/>
  <c r="S4" i="2"/>
  <c r="CZ4" i="2" s="1"/>
  <c r="CP3" i="2"/>
  <c r="CZ3" i="2" s="1"/>
  <c r="CZ36" i="2" l="1"/>
  <c r="CZ81" i="2"/>
  <c r="CZ82" i="2"/>
  <c r="CZ93" i="2"/>
  <c r="CZ150" i="2"/>
  <c r="CZ199" i="2"/>
  <c r="CZ113" i="2"/>
  <c r="CZ51" i="2"/>
  <c r="CZ76" i="2"/>
  <c r="CZ97" i="2"/>
  <c r="CZ102" i="2"/>
  <c r="CZ104" i="2"/>
  <c r="CZ105" i="2"/>
  <c r="CZ107" i="2"/>
  <c r="CZ108" i="2"/>
  <c r="CZ109" i="2"/>
  <c r="CZ114" i="2"/>
  <c r="CZ123" i="2"/>
  <c r="CZ170" i="2"/>
  <c r="CZ292" i="2"/>
  <c r="CZ74" i="2"/>
  <c r="CZ214" i="2"/>
  <c r="CZ28" i="2"/>
  <c r="CZ53" i="2"/>
  <c r="CZ70" i="2"/>
  <c r="CZ92" i="2"/>
  <c r="CZ218" i="2"/>
  <c r="CZ65" i="2"/>
  <c r="CZ140" i="2"/>
  <c r="CZ234" i="2"/>
  <c r="CZ34" i="2"/>
  <c r="CZ176" i="2"/>
  <c r="CZ13" i="2"/>
  <c r="CZ18" i="2"/>
  <c r="CZ19" i="2"/>
  <c r="CZ20" i="2"/>
  <c r="CZ21" i="2"/>
  <c r="CZ22" i="2"/>
  <c r="CZ23" i="2"/>
  <c r="CZ24" i="2"/>
  <c r="CZ25" i="2"/>
  <c r="CZ26" i="2"/>
  <c r="CZ27" i="2"/>
  <c r="CZ29" i="2"/>
  <c r="CZ68" i="2"/>
  <c r="CZ72" i="2"/>
  <c r="CZ77" i="2"/>
  <c r="CZ79" i="2"/>
  <c r="CZ80" i="2"/>
  <c r="CZ84" i="2"/>
  <c r="CZ40" i="2"/>
  <c r="CZ38" i="2"/>
  <c r="CZ41" i="2"/>
  <c r="CZ116" i="2"/>
  <c r="CZ118" i="2"/>
  <c r="CZ120" i="2"/>
  <c r="CZ122" i="2"/>
  <c r="CZ124" i="2"/>
  <c r="CZ130" i="2"/>
  <c r="CZ131" i="2"/>
  <c r="CZ132" i="2"/>
  <c r="CZ144" i="2"/>
  <c r="CZ145" i="2"/>
  <c r="CZ153" i="2"/>
  <c r="CZ154" i="2"/>
  <c r="CZ155" i="2"/>
  <c r="CZ157" i="2"/>
  <c r="CZ167" i="2"/>
  <c r="CZ173" i="2"/>
  <c r="CZ180" i="2"/>
  <c r="CZ181" i="2"/>
  <c r="CZ182" i="2"/>
  <c r="CZ186" i="2"/>
  <c r="CZ187" i="2"/>
  <c r="CZ188" i="2"/>
  <c r="CZ189" i="2"/>
  <c r="CZ190" i="2"/>
  <c r="CZ195" i="2"/>
  <c r="CZ196" i="2"/>
  <c r="CZ202" i="2"/>
  <c r="CZ203" i="2"/>
  <c r="CZ205" i="2"/>
  <c r="CZ207" i="2"/>
  <c r="CZ208" i="2"/>
  <c r="CZ209" i="2"/>
  <c r="CZ210" i="2"/>
  <c r="CZ211" i="2"/>
  <c r="CZ212" i="2"/>
  <c r="CZ213" i="2"/>
  <c r="CZ215" i="2"/>
  <c r="CZ216" i="2"/>
  <c r="CZ217" i="2"/>
  <c r="CZ219" i="2"/>
  <c r="CZ220" i="2"/>
  <c r="CZ221" i="2"/>
  <c r="CZ224" i="2"/>
  <c r="CZ225" i="2"/>
  <c r="CZ226" i="2"/>
  <c r="CZ227" i="2"/>
  <c r="CZ228" i="2"/>
  <c r="CZ229" i="2"/>
  <c r="CZ230" i="2"/>
  <c r="CZ235" i="2"/>
  <c r="CZ237" i="2"/>
  <c r="CZ238" i="2"/>
  <c r="CZ240" i="2"/>
  <c r="CZ242" i="2"/>
  <c r="CZ243" i="2"/>
  <c r="CZ244" i="2"/>
  <c r="CZ245" i="2"/>
  <c r="CZ247" i="2"/>
  <c r="CZ248" i="2"/>
  <c r="CZ251" i="2"/>
  <c r="CZ253" i="2"/>
  <c r="CZ262" i="2"/>
  <c r="CZ263" i="2"/>
  <c r="CZ264" i="2"/>
  <c r="CZ265" i="2"/>
  <c r="CZ266" i="2"/>
  <c r="CZ267" i="2"/>
  <c r="CZ268" i="2"/>
  <c r="CZ269" i="2"/>
  <c r="CZ270" i="2"/>
  <c r="CZ271" i="2"/>
  <c r="CZ272" i="2"/>
  <c r="CZ273" i="2"/>
  <c r="CZ274" i="2"/>
  <c r="CZ275" i="2"/>
  <c r="CZ276" i="2"/>
  <c r="CZ277" i="2"/>
  <c r="CZ278" i="2"/>
  <c r="CZ279" i="2"/>
  <c r="CZ280" i="2"/>
  <c r="CZ282" i="2"/>
  <c r="CZ283" i="2"/>
  <c r="CZ286" i="2"/>
  <c r="CZ287" i="2"/>
  <c r="CZ291" i="2"/>
  <c r="CZ293" i="2"/>
  <c r="CZ297" i="2"/>
  <c r="CZ298" i="2"/>
  <c r="CZ299" i="2"/>
  <c r="CZ300" i="2"/>
  <c r="CZ117" i="2"/>
  <c r="CZ125" i="2"/>
  <c r="CZ148" i="2"/>
  <c r="CZ168" i="2"/>
  <c r="CZ295" i="2"/>
  <c r="CZ136" i="2"/>
  <c r="CZ142" i="2"/>
  <c r="CZ223" i="2"/>
  <c r="CZ258" i="2"/>
  <c r="CZ111" i="2"/>
  <c r="CZ141" i="2"/>
  <c r="CZ143" i="2"/>
  <c r="CZ222" i="2"/>
  <c r="CZ241" i="2"/>
  <c r="CZ256" i="2"/>
  <c r="CZ259" i="2"/>
  <c r="CZ119" i="2"/>
  <c r="CZ127" i="2"/>
  <c r="CZ129" i="2"/>
  <c r="CZ134" i="2"/>
  <c r="CZ138" i="2"/>
  <c r="CZ151" i="2"/>
  <c r="CZ62" i="2"/>
  <c r="CZ63" i="2"/>
  <c r="CZ73" i="2"/>
  <c r="CZ75" i="2"/>
  <c r="CZ87" i="2"/>
  <c r="CZ121" i="2"/>
  <c r="CZ126" i="2"/>
  <c r="CZ128" i="2"/>
  <c r="CZ133" i="2"/>
  <c r="CZ135" i="2"/>
  <c r="CZ137" i="2"/>
  <c r="CZ139" i="2"/>
  <c r="CZ146" i="2"/>
  <c r="CZ149" i="2"/>
  <c r="CZ152" i="2"/>
  <c r="CZ236" i="2"/>
  <c r="CZ257" i="2"/>
  <c r="CZ31" i="2"/>
  <c r="CZ35" i="2"/>
  <c r="CZ37" i="2"/>
  <c r="CZ39" i="2"/>
  <c r="CZ42" i="2"/>
  <c r="CZ43" i="2"/>
  <c r="CZ44" i="2"/>
  <c r="CZ54" i="2"/>
  <c r="CZ55" i="2"/>
  <c r="CZ56" i="2"/>
  <c r="CZ57" i="2"/>
  <c r="CZ58" i="2"/>
  <c r="CZ59" i="2"/>
  <c r="CZ60" i="2"/>
  <c r="CZ85" i="2"/>
  <c r="CZ98" i="2"/>
  <c r="CZ99" i="2"/>
  <c r="CZ100" i="2"/>
  <c r="CZ101" i="2"/>
  <c r="CZ103" i="2"/>
  <c r="CZ106" i="2"/>
  <c r="CZ110" i="2"/>
  <c r="CZ112" i="2"/>
  <c r="CZ183" i="2"/>
  <c r="CZ184" i="2"/>
  <c r="CZ185" i="2"/>
  <c r="CZ191" i="2"/>
  <c r="CZ192" i="2"/>
  <c r="CZ193" i="2"/>
  <c r="CZ194" i="2"/>
  <c r="CZ197" i="2"/>
  <c r="CZ198" i="2"/>
  <c r="CZ200" i="2"/>
  <c r="CZ201" i="2"/>
  <c r="CZ204" i="2"/>
  <c r="CZ8" i="2"/>
  <c r="CZ9" i="2"/>
  <c r="CZ10" i="2"/>
  <c r="CZ11" i="2"/>
  <c r="CZ12" i="2"/>
  <c r="CZ14" i="2"/>
  <c r="CZ15" i="2"/>
  <c r="CZ16" i="2"/>
  <c r="CZ50" i="2"/>
  <c r="CZ66" i="2"/>
  <c r="CZ95" i="2"/>
  <c r="CZ158" i="2"/>
  <c r="CZ159" i="2"/>
  <c r="CZ160" i="2"/>
  <c r="CZ161" i="2"/>
  <c r="CZ162" i="2"/>
  <c r="CZ163" i="2"/>
  <c r="CZ164" i="2"/>
  <c r="CZ165" i="2"/>
  <c r="CZ172" i="2"/>
  <c r="CZ174" i="2"/>
  <c r="CZ175" i="2"/>
  <c r="CZ177" i="2"/>
  <c r="CZ178" i="2"/>
  <c r="CZ232" i="2"/>
  <c r="CZ233" i="2"/>
  <c r="CZ239" i="2"/>
  <c r="CZ246" i="2"/>
  <c r="CZ249" i="2"/>
  <c r="CZ250" i="2"/>
  <c r="CZ252" i="2"/>
  <c r="CZ254" i="2"/>
  <c r="CZ255" i="2"/>
  <c r="CZ284" i="2"/>
  <c r="CZ285" i="2"/>
  <c r="CZ288" i="2"/>
  <c r="CZ289" i="2"/>
  <c r="CZ290" i="2"/>
  <c r="CZ294" i="2"/>
  <c r="CZ296" i="2"/>
  <c r="CZ301" i="2" l="1"/>
</calcChain>
</file>

<file path=xl/sharedStrings.xml><?xml version="1.0" encoding="utf-8"?>
<sst xmlns="http://schemas.openxmlformats.org/spreadsheetml/2006/main" count="2433" uniqueCount="446">
  <si>
    <t>Image</t>
  </si>
  <si>
    <t>UMBRO</t>
  </si>
  <si>
    <t>HOMME</t>
  </si>
  <si>
    <t>SPORTWEAR</t>
  </si>
  <si>
    <t>SPORTSWEAR</t>
  </si>
  <si>
    <t>SPORT LOISIR</t>
  </si>
  <si>
    <t>JUNIOR</t>
  </si>
  <si>
    <t>TEAMWEAR</t>
  </si>
  <si>
    <t>BASE LAYERS</t>
  </si>
  <si>
    <t>GRIS CHINE</t>
  </si>
  <si>
    <t>BASIC</t>
  </si>
  <si>
    <t>BLANC</t>
  </si>
  <si>
    <t>NOIR</t>
  </si>
  <si>
    <t>DIAMOND SOCK</t>
  </si>
  <si>
    <t>KITS</t>
  </si>
  <si>
    <t>BLEU</t>
  </si>
  <si>
    <t>VERT</t>
  </si>
  <si>
    <t>PRO TRAINING</t>
  </si>
  <si>
    <t>MULTI</t>
  </si>
  <si>
    <t>CORE PERF</t>
  </si>
  <si>
    <t>DIAMOND</t>
  </si>
  <si>
    <t>FW</t>
  </si>
  <si>
    <t>MARINE</t>
  </si>
  <si>
    <t>ROUGE</t>
  </si>
  <si>
    <t>CLASS SHT AD</t>
  </si>
  <si>
    <t>JAUNE FLUO/NOIR</t>
  </si>
  <si>
    <t>CLUB</t>
  </si>
  <si>
    <t>CLUB SWEAT JNR</t>
  </si>
  <si>
    <t>NOIR/JAUNE FLUO/BLANC</t>
  </si>
  <si>
    <t>CLUB UNL JKT AD</t>
  </si>
  <si>
    <t>ROUGE/NOIR/BLANC</t>
  </si>
  <si>
    <t>NOIR/VERT FLUO/BLANC</t>
  </si>
  <si>
    <t>SMALL HOLDALL</t>
  </si>
  <si>
    <t>NOIR / BLANC</t>
  </si>
  <si>
    <t>CH7 TENNIS P3</t>
  </si>
  <si>
    <t>BLANC P</t>
  </si>
  <si>
    <t>ACCESSOIRES</t>
  </si>
  <si>
    <t>CHAUS TEN P6</t>
  </si>
  <si>
    <t>BLANC/GRIS/NOIR P</t>
  </si>
  <si>
    <t>CUP JRSY ML AD</t>
  </si>
  <si>
    <t>MARINE/BLANC</t>
  </si>
  <si>
    <t>BLANC/NOIR</t>
  </si>
  <si>
    <t>ROUGE/BLANC</t>
  </si>
  <si>
    <t>ROYAL / BLANC</t>
  </si>
  <si>
    <t>VERT/BLANC</t>
  </si>
  <si>
    <t>NOIR/BLANC</t>
  </si>
  <si>
    <t>SL SWEAT AD</t>
  </si>
  <si>
    <t>NUIT</t>
  </si>
  <si>
    <t>SPORT LAB</t>
  </si>
  <si>
    <t>CIEL / BLANC</t>
  </si>
  <si>
    <t>ROYAL/BLANC</t>
  </si>
  <si>
    <t>DIAM 1/2ZP SW A</t>
  </si>
  <si>
    <t>DIAM UNL JKT JR</t>
  </si>
  <si>
    <t>DIAM UNL JKT AD</t>
  </si>
  <si>
    <t>PRO TR DOUD JR</t>
  </si>
  <si>
    <t>NOIR/BLANC P</t>
  </si>
  <si>
    <t>COR POWER TIGH</t>
  </si>
  <si>
    <t>SB MARL DOUD JR</t>
  </si>
  <si>
    <t>NOIR CHINE 18H</t>
  </si>
  <si>
    <t>LIFESTYLE</t>
  </si>
  <si>
    <t>STREET</t>
  </si>
  <si>
    <t>JAUNE</t>
  </si>
  <si>
    <t>JAUNE/NOIR</t>
  </si>
  <si>
    <t>BORA SWEAT JR</t>
  </si>
  <si>
    <t>BORA</t>
  </si>
  <si>
    <t>ROYAL/MARINE/BLANC</t>
  </si>
  <si>
    <t>BORA SWEAT AD</t>
  </si>
  <si>
    <t>BORA UNLIN JKT</t>
  </si>
  <si>
    <t>NOIR/GUNMETAL/BLANC</t>
  </si>
  <si>
    <t>PRT COR POLAIRE</t>
  </si>
  <si>
    <t>GK BLEU ELECTRIQUE</t>
  </si>
  <si>
    <t>SB NET CU PAN A</t>
  </si>
  <si>
    <t>AUT POP OVER AD</t>
  </si>
  <si>
    <t>AUTHENTIC</t>
  </si>
  <si>
    <t>SB C NET TEE LL</t>
  </si>
  <si>
    <t>AUT HOOD SWEAT</t>
  </si>
  <si>
    <t>AUT CREW SWE BL</t>
  </si>
  <si>
    <t>ROUGE/NOIR</t>
  </si>
  <si>
    <t>TR WARM UP AD</t>
  </si>
  <si>
    <t>TRAINING</t>
  </si>
  <si>
    <t>AUT TRACK JACKT</t>
  </si>
  <si>
    <t>DOM REPLICA</t>
  </si>
  <si>
    <t>REPLICAS</t>
  </si>
  <si>
    <t>EA GUINGAMP</t>
  </si>
  <si>
    <t>SANS LIGNE</t>
  </si>
  <si>
    <t>ALIVE GR TEE JR</t>
  </si>
  <si>
    <t>ALIVE</t>
  </si>
  <si>
    <t>FRENCH BLUE</t>
  </si>
  <si>
    <t>ALIVE GR TEE AD</t>
  </si>
  <si>
    <t>ALIVE POLO AD</t>
  </si>
  <si>
    <t>ALIVE GR PANT J</t>
  </si>
  <si>
    <t>ALIVE GR PANT A</t>
  </si>
  <si>
    <t>SB NET LEI PAN</t>
  </si>
  <si>
    <t>MARINE 20E</t>
  </si>
  <si>
    <t>BLEU FONCE</t>
  </si>
  <si>
    <t>PRT CUFF PANT A</t>
  </si>
  <si>
    <t>PRT RAIN JKT JR</t>
  </si>
  <si>
    <t>ROUGE / BLANC</t>
  </si>
  <si>
    <t>ROUGE ANILINE</t>
  </si>
  <si>
    <t>BAS NET POLO PQ</t>
  </si>
  <si>
    <t>GRIS CHINE / NOIR</t>
  </si>
  <si>
    <t>BAS NET H SW LL</t>
  </si>
  <si>
    <t>KAKI</t>
  </si>
  <si>
    <t>STADE DE REIMS FOOT</t>
  </si>
  <si>
    <t>BEBE</t>
  </si>
  <si>
    <t>GAM NET TEE LOG</t>
  </si>
  <si>
    <t>GAMER</t>
  </si>
  <si>
    <t>INDIGO</t>
  </si>
  <si>
    <t>GAM NET SUI BIC</t>
  </si>
  <si>
    <t>ENFANT</t>
  </si>
  <si>
    <t>INDIGO / BLUSH</t>
  </si>
  <si>
    <t>GAM NET LEG GIR</t>
  </si>
  <si>
    <t>PRT COT TEE JR</t>
  </si>
  <si>
    <t>BLANC / NOIR</t>
  </si>
  <si>
    <t>KIDS</t>
  </si>
  <si>
    <t>PRT CUFF PANT J</t>
  </si>
  <si>
    <t>GRIS CHINE FONCE</t>
  </si>
  <si>
    <t>CAMEL</t>
  </si>
  <si>
    <t>BLEU CHINE</t>
  </si>
  <si>
    <t>SPORT PERFORMANCE</t>
  </si>
  <si>
    <t>BAS+NET FL PANT</t>
  </si>
  <si>
    <t>BAS NET CT T LL</t>
  </si>
  <si>
    <t>NOIR / ROUGE ANILINE</t>
  </si>
  <si>
    <t>BAS NET H SW BC</t>
  </si>
  <si>
    <t>EAG TEE AD</t>
  </si>
  <si>
    <t>EAG HOODY AD</t>
  </si>
  <si>
    <t>INTERNATIONAL</t>
  </si>
  <si>
    <t>ENG ALT REP SHT</t>
  </si>
  <si>
    <t>OFFICIAL LICENSED PRODUCT</t>
  </si>
  <si>
    <t>ENGLEND</t>
  </si>
  <si>
    <t>PITCH CREW</t>
  </si>
  <si>
    <t>BEIGE</t>
  </si>
  <si>
    <t>REFEREE JERSEY</t>
  </si>
  <si>
    <t>MID TEE</t>
  </si>
  <si>
    <t>HOLLOW TEE</t>
  </si>
  <si>
    <t>KING POLO</t>
  </si>
  <si>
    <t>MARINE 22E</t>
  </si>
  <si>
    <t>MELON 22E</t>
  </si>
  <si>
    <t>ROUGE ANILINE 22E</t>
  </si>
  <si>
    <t>UM KOCAK NET</t>
  </si>
  <si>
    <t>SEASONNAL</t>
  </si>
  <si>
    <t>SPORT</t>
  </si>
  <si>
    <t>PTE POLY TS AD</t>
  </si>
  <si>
    <t>200 NOIR</t>
  </si>
  <si>
    <t>PRO TRAINIG ELITE</t>
  </si>
  <si>
    <t>PTE POL POLO AD</t>
  </si>
  <si>
    <t>380 CARBONE</t>
  </si>
  <si>
    <t>T4E ML TEE AD</t>
  </si>
  <si>
    <t>TECH4 ELITE</t>
  </si>
  <si>
    <t>SA POLY TEE AD</t>
  </si>
  <si>
    <t>SPORT ACTIV</t>
  </si>
  <si>
    <t>SL FZ HD SWT AD</t>
  </si>
  <si>
    <t>TR POLY TEE AD</t>
  </si>
  <si>
    <t>COQUELICOT</t>
  </si>
  <si>
    <t>TR GR TEE AD</t>
  </si>
  <si>
    <t>TR POLY POLO AD</t>
  </si>
  <si>
    <t>BRUME</t>
  </si>
  <si>
    <t>STREET CACH COU</t>
  </si>
  <si>
    <t>AUT CREWN SWEAT</t>
  </si>
  <si>
    <t>SMU</t>
  </si>
  <si>
    <t>RETRO DIAM C TE</t>
  </si>
  <si>
    <t>UM N KOCAK ELAS</t>
  </si>
  <si>
    <t>BLANC/ MARINE</t>
  </si>
  <si>
    <t>SP PERF POLO AD</t>
  </si>
  <si>
    <t>NOIR 22E</t>
  </si>
  <si>
    <t>SP PERF KN PANT</t>
  </si>
  <si>
    <t>SPL NET CT TEE</t>
  </si>
  <si>
    <t>OUTERWEAR</t>
  </si>
  <si>
    <t>GAM NET HD SWE</t>
  </si>
  <si>
    <t>GAM NET F PAN B</t>
  </si>
  <si>
    <t>BLEU/BLANC</t>
  </si>
  <si>
    <t>PITCH CREW MULT</t>
  </si>
  <si>
    <t>MULTICOLOR</t>
  </si>
  <si>
    <t>MID TEE TD</t>
  </si>
  <si>
    <t>CASUAL</t>
  </si>
  <si>
    <t>BOOTS</t>
  </si>
  <si>
    <t>UM NATEO VLC NE</t>
  </si>
  <si>
    <t>UM NELLA VLC NE</t>
  </si>
  <si>
    <t>UM JADE NET</t>
  </si>
  <si>
    <t>KARTS</t>
  </si>
  <si>
    <t>UM KARTS NET</t>
  </si>
  <si>
    <t>NOIR/ GRIS FON/ GRIS CL</t>
  </si>
  <si>
    <t>BASIC SPORT</t>
  </si>
  <si>
    <t>NOIR/ ROSE</t>
  </si>
  <si>
    <t>SCARLET RED</t>
  </si>
  <si>
    <t>SP PERF WV SUIT</t>
  </si>
  <si>
    <t>SCARLET RED / NOIR</t>
  </si>
  <si>
    <t>NOIR/ GRIS FONCE</t>
  </si>
  <si>
    <t>UM LINLEY VLC N</t>
  </si>
  <si>
    <t>MARINE/ BLEU</t>
  </si>
  <si>
    <t>BASIC CASUAL</t>
  </si>
  <si>
    <t>UM NATEO LACE N</t>
  </si>
  <si>
    <t>MARINE/ BLEU/ GRIS FONCE</t>
  </si>
  <si>
    <t>GAM NET CT T GR</t>
  </si>
  <si>
    <t>GAM NET CT T BY</t>
  </si>
  <si>
    <t>OUT NET DOUD JR</t>
  </si>
  <si>
    <t>GAM NET F SU BY</t>
  </si>
  <si>
    <t>BAS NET SWE SL</t>
  </si>
  <si>
    <t>MARINE/NOIR</t>
  </si>
  <si>
    <t>MARINE 22H</t>
  </si>
  <si>
    <t>SPL NET FL SUIT</t>
  </si>
  <si>
    <t>UM KARTS LACE N</t>
  </si>
  <si>
    <t>FCL THIRD JY SS</t>
  </si>
  <si>
    <t>SANS SPONSOR</t>
  </si>
  <si>
    <t>FC LORIENT</t>
  </si>
  <si>
    <t>IREL HOM JSY SS</t>
  </si>
  <si>
    <t>2022/2023</t>
  </si>
  <si>
    <t>IRELAND</t>
  </si>
  <si>
    <t>FCL POLO AD</t>
  </si>
  <si>
    <t>ENG H CL JY SS</t>
  </si>
  <si>
    <t>ENG H CL JY LS</t>
  </si>
  <si>
    <t>ENG H REP SHORT</t>
  </si>
  <si>
    <t>ENG ANTHE JKT 2</t>
  </si>
  <si>
    <t>BLANC BRILLANT</t>
  </si>
  <si>
    <t>OSPREY H PRO JY</t>
  </si>
  <si>
    <t>OSPREYS</t>
  </si>
  <si>
    <t>NOIR/GRIS FONCE</t>
  </si>
  <si>
    <t>BAS NET H SW SL</t>
  </si>
  <si>
    <t>CAMEL CHINE 22H</t>
  </si>
  <si>
    <t>LIFESTYLE CAP</t>
  </si>
  <si>
    <t>LIFESTYLE TEE 1</t>
  </si>
  <si>
    <t>LIFESTY MAILLOT</t>
  </si>
  <si>
    <t>BROWN</t>
  </si>
  <si>
    <t>LIFE CODE TEE</t>
  </si>
  <si>
    <t>SP PERF GR TEE</t>
  </si>
  <si>
    <t>SP PERF PLY TEE</t>
  </si>
  <si>
    <t>SP PERF WV PANT</t>
  </si>
  <si>
    <t>BLANC / ROUGE ANILINE</t>
  </si>
  <si>
    <t>NOIR / ATLANTIC BLUE</t>
  </si>
  <si>
    <t>SPL NET G W BER</t>
  </si>
  <si>
    <t>SPL NET WV SUIT</t>
  </si>
  <si>
    <t>CAMEL CHINE</t>
  </si>
  <si>
    <t>BAS NET ST LG T</t>
  </si>
  <si>
    <t>UM PACCO</t>
  </si>
  <si>
    <t>MARINE/ GRIS</t>
  </si>
  <si>
    <t>UM PADDY</t>
  </si>
  <si>
    <t>UM PALMA S</t>
  </si>
  <si>
    <t>MARINE/ ROUGE</t>
  </si>
  <si>
    <t>CONFORT</t>
  </si>
  <si>
    <t>UM PRIAM LACE</t>
  </si>
  <si>
    <t>GRIS/ MARINE/ ROUGE</t>
  </si>
  <si>
    <t>UM PRIAM VLC</t>
  </si>
  <si>
    <t>UM NET KALO</t>
  </si>
  <si>
    <t>UM KAMEN</t>
  </si>
  <si>
    <t>SPL NET HD SWE</t>
  </si>
  <si>
    <t>MARINE / ROUGE</t>
  </si>
  <si>
    <t>SPL NET JOG PAN</t>
  </si>
  <si>
    <t>SPL NET G W PAN</t>
  </si>
  <si>
    <t>BLANC/ VIOLET GRAPHIC</t>
  </si>
  <si>
    <t>BLANC/ ROSE IRI</t>
  </si>
  <si>
    <t>SKY BLUE</t>
  </si>
  <si>
    <t>LIF JKT GLOW</t>
  </si>
  <si>
    <t>DARK BLUE</t>
  </si>
  <si>
    <t>LIF PANT GLOW</t>
  </si>
  <si>
    <t>JAUNE FLUO</t>
  </si>
  <si>
    <t>LIF CREWNEC DOG</t>
  </si>
  <si>
    <t>LIFE TEE PIG DY</t>
  </si>
  <si>
    <t>MTV</t>
  </si>
  <si>
    <t>UM X MTV CAP</t>
  </si>
  <si>
    <t>SHADED SPRUCE</t>
  </si>
  <si>
    <t>NOIR/ IRI</t>
  </si>
  <si>
    <t>MARINE / CYBER YELLOW</t>
  </si>
  <si>
    <t>GAM NET WVN SHT</t>
  </si>
  <si>
    <t>SPL NET GR TEE</t>
  </si>
  <si>
    <t>KIT</t>
  </si>
  <si>
    <t>EAG POLO AD</t>
  </si>
  <si>
    <t>EAG A JY AUT SS</t>
  </si>
  <si>
    <t>SDR H JS AUT SS</t>
  </si>
  <si>
    <t>ENG HOM JY SS A</t>
  </si>
  <si>
    <t>CHALLENGE JSY</t>
  </si>
  <si>
    <t>CHALLENGER</t>
  </si>
  <si>
    <t>ARDOISE/NOIR</t>
  </si>
  <si>
    <t>NOIR/ARDOISE</t>
  </si>
  <si>
    <t>CHAL 1/2 ZP SWE</t>
  </si>
  <si>
    <t>CH FZ HD JKT JR</t>
  </si>
  <si>
    <t>CH FZ HD JKT AD</t>
  </si>
  <si>
    <t>ROYAL</t>
  </si>
  <si>
    <t>GAM NET FL SUIT</t>
  </si>
  <si>
    <t>OUTL NET KN SUI</t>
  </si>
  <si>
    <t>OUTLET</t>
  </si>
  <si>
    <t>MARINE/ORANGE FIESTA</t>
  </si>
  <si>
    <t>SPL NET FL PAN</t>
  </si>
  <si>
    <t>MARINE/ MARRON FONCE</t>
  </si>
  <si>
    <t>LIF FLANEL JKT</t>
  </si>
  <si>
    <t>KAKI/ NOIR</t>
  </si>
  <si>
    <t>UM OWEN LACE</t>
  </si>
  <si>
    <t>MARINE/ BLANC/ ROUGE</t>
  </si>
  <si>
    <t>UM OWEN</t>
  </si>
  <si>
    <t>UM ORELL</t>
  </si>
  <si>
    <t>UM OZAY VLC</t>
  </si>
  <si>
    <t>MARINE/ JAUNE</t>
  </si>
  <si>
    <t>NOIR/ BLANC/ CHARBON</t>
  </si>
  <si>
    <t>UM OLLY LACE</t>
  </si>
  <si>
    <t>ROUGE/ BLANC/ NOIR</t>
  </si>
  <si>
    <t>LIF CREWNECK</t>
  </si>
  <si>
    <t>GREEN FOREST</t>
  </si>
  <si>
    <t>LIF FLEECE PANT</t>
  </si>
  <si>
    <t>LIF POLAR</t>
  </si>
  <si>
    <t>UM OLAN</t>
  </si>
  <si>
    <t>W C HOME REP SS</t>
  </si>
  <si>
    <t>ENG GYM TEE</t>
  </si>
  <si>
    <t>MARINE/BLEU FONCE/FLAMME</t>
  </si>
  <si>
    <t>UMB CYPHER FG</t>
  </si>
  <si>
    <t>NOIR/BLANC/VERMILLION</t>
  </si>
  <si>
    <t>FOOTBALL CHAUSSURE</t>
  </si>
  <si>
    <t>JOY NET KN SU G</t>
  </si>
  <si>
    <t>JOY</t>
  </si>
  <si>
    <t>CYPHER BALL</t>
  </si>
  <si>
    <t>T5 NOIR / ROUGE</t>
  </si>
  <si>
    <t>CYPHER</t>
  </si>
  <si>
    <t>CASTRES OLYMPIQUE</t>
  </si>
  <si>
    <t>CO FAN POLO RUG</t>
  </si>
  <si>
    <t>PLACIDE BLUE</t>
  </si>
  <si>
    <t>UM RAFFY VLC</t>
  </si>
  <si>
    <t>BLANC/ ROUGE/ NOIR</t>
  </si>
  <si>
    <t>UM RAVEN</t>
  </si>
  <si>
    <t>UM RAY</t>
  </si>
  <si>
    <t>UM ROBIN</t>
  </si>
  <si>
    <t>ORANGE/ BLEU</t>
  </si>
  <si>
    <t>SPP POLY TEE</t>
  </si>
  <si>
    <t>CORONET BLUE</t>
  </si>
  <si>
    <t>SPL NET GR CT T</t>
  </si>
  <si>
    <t>SPL NET G W LSH</t>
  </si>
  <si>
    <t>SPL NET G W SHT</t>
  </si>
  <si>
    <t>ROSE CLAIR/ BLANC</t>
  </si>
  <si>
    <t>RIB TENNIS TEE</t>
  </si>
  <si>
    <t>BRILLANTE WHITE</t>
  </si>
  <si>
    <t>PRINTED SHIRT</t>
  </si>
  <si>
    <t>REGALE BLUE  MULTI</t>
  </si>
  <si>
    <t>QUETZAL GREEN  MULTI</t>
  </si>
  <si>
    <t>INFIL TAPE TEE</t>
  </si>
  <si>
    <t>BRILLANTE BRILLANT  WHITE</t>
  </si>
  <si>
    <t>REGALE REGAL  BLUE</t>
  </si>
  <si>
    <t>GRADIEN BOX TEE</t>
  </si>
  <si>
    <t>ESTATEE ESTATE  BLUE</t>
  </si>
  <si>
    <t>QUETZALE QUETZAL  GREEN</t>
  </si>
  <si>
    <t>UM MONOG SH BAG</t>
  </si>
  <si>
    <t>PRINCESS BLUE/ESTATE BLUE</t>
  </si>
  <si>
    <t>UM MONOG PI BAG</t>
  </si>
  <si>
    <t>REVERS RAMS JKT</t>
  </si>
  <si>
    <t>PANEL WINDBREAK</t>
  </si>
  <si>
    <t>MONOGR ANTH JKT</t>
  </si>
  <si>
    <t>REGALE BLUE</t>
  </si>
  <si>
    <t>JACQ POLO SHIRT</t>
  </si>
  <si>
    <t>QUETZALE GREEN  MULTI</t>
  </si>
  <si>
    <t>LINEAR PRT JSY</t>
  </si>
  <si>
    <t>REGAL BLUE/ESTATE BLUE</t>
  </si>
  <si>
    <t>QUET GREEN/PAPYRUS/VIB GR</t>
  </si>
  <si>
    <t>FOOTBALL SHIRT</t>
  </si>
  <si>
    <t>MONOG TRACK PAN</t>
  </si>
  <si>
    <t>TEXTURED JOGGER</t>
  </si>
  <si>
    <t>GREYE GREY  MARL</t>
  </si>
  <si>
    <t>JACQ RETRO SHT</t>
  </si>
  <si>
    <t>PRINTED SHORT</t>
  </si>
  <si>
    <t>TEXTURED SHORT</t>
  </si>
  <si>
    <t>GREYE GREY MARL</t>
  </si>
  <si>
    <t>UM EDANO LACE</t>
  </si>
  <si>
    <t>UM ROY</t>
  </si>
  <si>
    <t>BLANC/ NOIR/ ORANGE</t>
  </si>
  <si>
    <t>SPL NET SUIT</t>
  </si>
  <si>
    <t>BLANC/VERT FLUO</t>
  </si>
  <si>
    <t>CO FAN BEANIE</t>
  </si>
  <si>
    <t>UM OSMAN VLC</t>
  </si>
  <si>
    <t xml:space="preserve"> NOIR/ BLEU/ FLUO</t>
  </si>
  <si>
    <t>BLANC CASSE/ MARINE</t>
  </si>
  <si>
    <t>GRIS CHINE/ZIP GRIS</t>
  </si>
  <si>
    <t>GRIS CHINE/ ZIP GRIS</t>
  </si>
  <si>
    <t>JAUNE / BLANC</t>
  </si>
  <si>
    <t>JAUNE TERNE/NOIR</t>
  </si>
  <si>
    <t>Stock Total</t>
  </si>
  <si>
    <t>XXXXS</t>
  </si>
  <si>
    <t>XXXS</t>
  </si>
  <si>
    <t>5XS</t>
  </si>
  <si>
    <t>XXS</t>
  </si>
  <si>
    <t>2XS</t>
  </si>
  <si>
    <t>XS</t>
  </si>
  <si>
    <t>S</t>
  </si>
  <si>
    <t>M</t>
  </si>
  <si>
    <t>L</t>
  </si>
  <si>
    <t>XL</t>
  </si>
  <si>
    <t>XXL</t>
  </si>
  <si>
    <t>2XL</t>
  </si>
  <si>
    <t>3XL</t>
  </si>
  <si>
    <t>4XL</t>
  </si>
  <si>
    <t>5XL</t>
  </si>
  <si>
    <t>6XL</t>
  </si>
  <si>
    <t>10A</t>
  </si>
  <si>
    <t>12A</t>
  </si>
  <si>
    <t>14A</t>
  </si>
  <si>
    <t>6A</t>
  </si>
  <si>
    <t>8A</t>
  </si>
  <si>
    <t>29/31</t>
  </si>
  <si>
    <t>32/34</t>
  </si>
  <si>
    <t>35/37</t>
  </si>
  <si>
    <t>38/40</t>
  </si>
  <si>
    <t>41/43</t>
  </si>
  <si>
    <t>44/46</t>
  </si>
  <si>
    <t>47/49</t>
  </si>
  <si>
    <t>T UNI</t>
  </si>
  <si>
    <t>ASS</t>
  </si>
  <si>
    <t>QTE</t>
  </si>
  <si>
    <t>S/M</t>
  </si>
  <si>
    <t>SHORT</t>
  </si>
  <si>
    <t>SOUS VETEMENT</t>
  </si>
  <si>
    <t>TEE SHIRT / DEBARDEUR</t>
  </si>
  <si>
    <t>CHAUSSETTE</t>
  </si>
  <si>
    <t>COUPE-VENT / VESTE PLUIE</t>
  </si>
  <si>
    <t>SAC ENTRAINEMENT</t>
  </si>
  <si>
    <t>SAC DIVERS</t>
  </si>
  <si>
    <t>SWEAT</t>
  </si>
  <si>
    <t>VESTE SURVETEMENT</t>
  </si>
  <si>
    <t>JACKET</t>
  </si>
  <si>
    <t>MAILLOT</t>
  </si>
  <si>
    <t>POLO MANCHES COURTES</t>
  </si>
  <si>
    <t>PANTALON</t>
  </si>
  <si>
    <t>BERMUDA / SHORT LONG</t>
  </si>
  <si>
    <t>DOUDOUNE</t>
  </si>
  <si>
    <t>SURVETEMENT</t>
  </si>
  <si>
    <t>CACHE-COU</t>
  </si>
  <si>
    <t>COLLANT</t>
  </si>
  <si>
    <t>MULE</t>
  </si>
  <si>
    <t>SNEAKERS BAS</t>
  </si>
  <si>
    <t>CASQUETTE</t>
  </si>
  <si>
    <t>FOOT TERRAIN SEC</t>
  </si>
  <si>
    <t>SNEAKERS HAUT</t>
  </si>
  <si>
    <t>BALLONS</t>
  </si>
  <si>
    <t>POLO MANCHES LONGUES</t>
  </si>
  <si>
    <t>SANDALE</t>
  </si>
  <si>
    <t>CHEMISE MANCHES COURTES</t>
  </si>
  <si>
    <t>POCHETTE</t>
  </si>
  <si>
    <t>TENNIS</t>
  </si>
  <si>
    <t>BONNET</t>
  </si>
  <si>
    <t>Amount PCS</t>
  </si>
  <si>
    <t>WHS</t>
  </si>
  <si>
    <t>RRP</t>
  </si>
  <si>
    <t>Brand</t>
  </si>
  <si>
    <t>Activity</t>
  </si>
  <si>
    <t>Line</t>
  </si>
  <si>
    <t>Color name</t>
  </si>
  <si>
    <t>Color code</t>
  </si>
  <si>
    <t>Article line</t>
  </si>
  <si>
    <t>Collection</t>
  </si>
  <si>
    <t>Shape</t>
  </si>
  <si>
    <t xml:space="preserve">Reference </t>
  </si>
  <si>
    <t>Sizes</t>
  </si>
  <si>
    <t>Name/Gender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</si>
</sst>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€-2]\ * #,##0.00_-;\-[$€-2]\ * #,##0.00_-;_-[$€-2]\ * &quot;-&quot;??_-;_-@_-"/>
  </numFmts>
  <fonts count="6">
    <font>
      <sz val="11"/>
      <color rgb="FF000000"/>
      <name val="Lato,Helvetica,Arial,sans-serif"/>
    </font>
    <font>
      <b/>
      <sz val="11"/>
      <color indexed="8"/>
      <name val="Lato,Helvetica,Arial,sans-serif"/>
    </font>
    <font>
      <sz val="10"/>
      <color indexed="8"/>
      <name val="Lato,Helvetica,Arial,sans-serif"/>
    </font>
    <font>
      <sz val="10"/>
      <color indexed="17"/>
      <name val="Lato,Helvetica,Arial,sans-serif"/>
    </font>
    <font>
      <b/>
      <sz val="11"/>
      <name val="Lato,Helvetica,Arial,sans-serif"/>
    </font>
    <font>
      <b/>
      <sz val="11"/>
      <color indexed="8"/>
      <name val="Lato,Helvetica,Arial,sans-serif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51"/>
        <bgColor indexed="63"/>
      </patternFill>
    </fill>
    <fill>
      <patternFill patternType="solid">
        <fgColor indexed="55"/>
        <bgColor indexed="63"/>
      </patternFill>
    </fill>
  </fills>
  <borders count="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 applyProtection="1">
      <protection locked="0"/>
    </xf>
    <xf numFmtId="0" fontId="0" fillId="2" borderId="0" xfId="0" applyFill="1"/>
    <xf numFmtId="0" fontId="2" fillId="0" borderId="1" xfId="0" applyFont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4" fillId="3" borderId="2" xfId="0" applyFont="1" applyFill="1" applyBorder="1" applyAlignment="1" applyProtection="1">
      <alignment horizontal="center" vertical="center"/>
      <protection locked="0"/>
    </xf>
    <xf numFmtId="164" fontId="0" fillId="0" borderId="0" xfId="0" applyNumberFormat="1" applyProtection="1">
      <protection locked="0"/>
    </xf>
    <xf numFmtId="164" fontId="4" fillId="3" borderId="2" xfId="0" applyNumberFormat="1" applyFont="1" applyFill="1" applyBorder="1" applyAlignment="1" applyProtection="1">
      <alignment horizontal="center" vertical="center"/>
      <protection locked="0"/>
    </xf>
    <xf numFmtId="164" fontId="2" fillId="0" borderId="1" xfId="0" applyNumberFormat="1" applyFont="1" applyBorder="1" applyAlignment="1" applyProtection="1">
      <alignment horizontal="center" vertical="center" wrapText="1"/>
      <protection locked="0"/>
    </xf>
    <xf numFmtId="0" fontId="5" fillId="0" borderId="0" xfId="0" applyFont="1" applyProtection="1">
      <protection locked="0"/>
    </xf>
    <xf numFmtId="0" fontId="4" fillId="4" borderId="1" xfId="0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0" fillId="0" borderId="0" xfId="0" applyProtection="1">
      <protection locked="0"/>
    </xf>
  </cellXfs>
  <cellStyles count="1"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65" Type="http://schemas.openxmlformats.org/officeDocument/2006/relationships/image" Target="../media/image265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0" Type="http://schemas.openxmlformats.org/officeDocument/2006/relationships/image" Target="../media/image250.jpeg"/><Relationship Id="rId255" Type="http://schemas.openxmlformats.org/officeDocument/2006/relationships/image" Target="../media/image255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266" Type="http://schemas.openxmlformats.org/officeDocument/2006/relationships/image" Target="../media/image266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72" Type="http://schemas.openxmlformats.org/officeDocument/2006/relationships/image" Target="../media/image272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2</xdr:row>
      <xdr:rowOff>190500</xdr:rowOff>
    </xdr:from>
    <xdr:to>
      <xdr:col>3</xdr:col>
      <xdr:colOff>542925</xdr:colOff>
      <xdr:row>2</xdr:row>
      <xdr:rowOff>666750</xdr:rowOff>
    </xdr:to>
    <xdr:pic>
      <xdr:nvPicPr>
        <xdr:cNvPr id="41" name="510490-40-82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3</xdr:row>
      <xdr:rowOff>190500</xdr:rowOff>
    </xdr:from>
    <xdr:to>
      <xdr:col>3</xdr:col>
      <xdr:colOff>561975</xdr:colOff>
      <xdr:row>3</xdr:row>
      <xdr:rowOff>666750</xdr:rowOff>
    </xdr:to>
    <xdr:pic>
      <xdr:nvPicPr>
        <xdr:cNvPr id="43" name="510500-60-81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4</xdr:row>
      <xdr:rowOff>190500</xdr:rowOff>
    </xdr:from>
    <xdr:to>
      <xdr:col>3</xdr:col>
      <xdr:colOff>666750</xdr:colOff>
      <xdr:row>4</xdr:row>
      <xdr:rowOff>666750</xdr:rowOff>
    </xdr:to>
    <xdr:pic>
      <xdr:nvPicPr>
        <xdr:cNvPr id="48" name="510940-7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5</xdr:row>
      <xdr:rowOff>190500</xdr:rowOff>
    </xdr:from>
    <xdr:to>
      <xdr:col>3</xdr:col>
      <xdr:colOff>600075</xdr:colOff>
      <xdr:row>5</xdr:row>
      <xdr:rowOff>666750</xdr:rowOff>
    </xdr:to>
    <xdr:pic>
      <xdr:nvPicPr>
        <xdr:cNvPr id="49" name="527440-60-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6</xdr:row>
      <xdr:rowOff>190500</xdr:rowOff>
    </xdr:from>
    <xdr:to>
      <xdr:col>3</xdr:col>
      <xdr:colOff>542925</xdr:colOff>
      <xdr:row>6</xdr:row>
      <xdr:rowOff>666750</xdr:rowOff>
    </xdr:to>
    <xdr:pic>
      <xdr:nvPicPr>
        <xdr:cNvPr id="50" name="527450-60-3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7</xdr:row>
      <xdr:rowOff>190500</xdr:rowOff>
    </xdr:from>
    <xdr:to>
      <xdr:col>3</xdr:col>
      <xdr:colOff>542925</xdr:colOff>
      <xdr:row>7</xdr:row>
      <xdr:rowOff>666750</xdr:rowOff>
    </xdr:to>
    <xdr:pic>
      <xdr:nvPicPr>
        <xdr:cNvPr id="60" name="570260-60-10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8</xdr:row>
      <xdr:rowOff>190500</xdr:rowOff>
    </xdr:from>
    <xdr:to>
      <xdr:col>3</xdr:col>
      <xdr:colOff>542925</xdr:colOff>
      <xdr:row>8</xdr:row>
      <xdr:rowOff>666750</xdr:rowOff>
    </xdr:to>
    <xdr:pic>
      <xdr:nvPicPr>
        <xdr:cNvPr id="61" name="570260-60-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9</xdr:row>
      <xdr:rowOff>190500</xdr:rowOff>
    </xdr:from>
    <xdr:to>
      <xdr:col>3</xdr:col>
      <xdr:colOff>542925</xdr:colOff>
      <xdr:row>9</xdr:row>
      <xdr:rowOff>666750</xdr:rowOff>
    </xdr:to>
    <xdr:pic>
      <xdr:nvPicPr>
        <xdr:cNvPr id="62" name="570260-60-4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10</xdr:row>
      <xdr:rowOff>190500</xdr:rowOff>
    </xdr:from>
    <xdr:to>
      <xdr:col>3</xdr:col>
      <xdr:colOff>666750</xdr:colOff>
      <xdr:row>10</xdr:row>
      <xdr:rowOff>666750</xdr:rowOff>
    </xdr:to>
    <xdr:pic>
      <xdr:nvPicPr>
        <xdr:cNvPr id="63" name="570260-60-5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11</xdr:row>
      <xdr:rowOff>190500</xdr:rowOff>
    </xdr:from>
    <xdr:to>
      <xdr:col>3</xdr:col>
      <xdr:colOff>542925</xdr:colOff>
      <xdr:row>11</xdr:row>
      <xdr:rowOff>666750</xdr:rowOff>
    </xdr:to>
    <xdr:pic>
      <xdr:nvPicPr>
        <xdr:cNvPr id="64" name="570260-60-6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12</xdr:row>
      <xdr:rowOff>190500</xdr:rowOff>
    </xdr:from>
    <xdr:to>
      <xdr:col>3</xdr:col>
      <xdr:colOff>542925</xdr:colOff>
      <xdr:row>12</xdr:row>
      <xdr:rowOff>666750</xdr:rowOff>
    </xdr:to>
    <xdr:pic>
      <xdr:nvPicPr>
        <xdr:cNvPr id="65" name="570260-60-71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13</xdr:row>
      <xdr:rowOff>190500</xdr:rowOff>
    </xdr:from>
    <xdr:to>
      <xdr:col>3</xdr:col>
      <xdr:colOff>542925</xdr:colOff>
      <xdr:row>13</xdr:row>
      <xdr:rowOff>666750</xdr:rowOff>
    </xdr:to>
    <xdr:pic>
      <xdr:nvPicPr>
        <xdr:cNvPr id="66" name="570260-6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14</xdr:row>
      <xdr:rowOff>190500</xdr:rowOff>
    </xdr:from>
    <xdr:to>
      <xdr:col>3</xdr:col>
      <xdr:colOff>542925</xdr:colOff>
      <xdr:row>14</xdr:row>
      <xdr:rowOff>666750</xdr:rowOff>
    </xdr:to>
    <xdr:pic>
      <xdr:nvPicPr>
        <xdr:cNvPr id="82" name="618000-60-51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15</xdr:row>
      <xdr:rowOff>190500</xdr:rowOff>
    </xdr:from>
    <xdr:to>
      <xdr:col>3</xdr:col>
      <xdr:colOff>523875</xdr:colOff>
      <xdr:row>15</xdr:row>
      <xdr:rowOff>666750</xdr:rowOff>
    </xdr:to>
    <xdr:pic>
      <xdr:nvPicPr>
        <xdr:cNvPr id="84" name="570260-60-22_2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16</xdr:row>
      <xdr:rowOff>190500</xdr:rowOff>
    </xdr:from>
    <xdr:to>
      <xdr:col>3</xdr:col>
      <xdr:colOff>533400</xdr:colOff>
      <xdr:row>16</xdr:row>
      <xdr:rowOff>666750</xdr:rowOff>
    </xdr:to>
    <xdr:pic>
      <xdr:nvPicPr>
        <xdr:cNvPr id="98" name="647750-60-51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17</xdr:row>
      <xdr:rowOff>190500</xdr:rowOff>
    </xdr:from>
    <xdr:to>
      <xdr:col>3</xdr:col>
      <xdr:colOff>533400</xdr:colOff>
      <xdr:row>17</xdr:row>
      <xdr:rowOff>666750</xdr:rowOff>
    </xdr:to>
    <xdr:pic>
      <xdr:nvPicPr>
        <xdr:cNvPr id="101" name="647770-40-10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18</xdr:row>
      <xdr:rowOff>190500</xdr:rowOff>
    </xdr:from>
    <xdr:to>
      <xdr:col>3</xdr:col>
      <xdr:colOff>542925</xdr:colOff>
      <xdr:row>18</xdr:row>
      <xdr:rowOff>666750</xdr:rowOff>
    </xdr:to>
    <xdr:pic>
      <xdr:nvPicPr>
        <xdr:cNvPr id="102" name="647770-40-41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19</xdr:row>
      <xdr:rowOff>190500</xdr:rowOff>
    </xdr:from>
    <xdr:to>
      <xdr:col>3</xdr:col>
      <xdr:colOff>533400</xdr:colOff>
      <xdr:row>19</xdr:row>
      <xdr:rowOff>666750</xdr:rowOff>
    </xdr:to>
    <xdr:pic>
      <xdr:nvPicPr>
        <xdr:cNvPr id="103" name="647770-40-51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20</xdr:row>
      <xdr:rowOff>190500</xdr:rowOff>
    </xdr:from>
    <xdr:to>
      <xdr:col>3</xdr:col>
      <xdr:colOff>542925</xdr:colOff>
      <xdr:row>20</xdr:row>
      <xdr:rowOff>666750</xdr:rowOff>
    </xdr:to>
    <xdr:pic>
      <xdr:nvPicPr>
        <xdr:cNvPr id="104" name="647770-40-6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21</xdr:row>
      <xdr:rowOff>190500</xdr:rowOff>
    </xdr:from>
    <xdr:to>
      <xdr:col>3</xdr:col>
      <xdr:colOff>523875</xdr:colOff>
      <xdr:row>21</xdr:row>
      <xdr:rowOff>666750</xdr:rowOff>
    </xdr:to>
    <xdr:pic>
      <xdr:nvPicPr>
        <xdr:cNvPr id="105" name="647770-40-81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22</xdr:row>
      <xdr:rowOff>190500</xdr:rowOff>
    </xdr:from>
    <xdr:to>
      <xdr:col>3</xdr:col>
      <xdr:colOff>666750</xdr:colOff>
      <xdr:row>22</xdr:row>
      <xdr:rowOff>666750</xdr:rowOff>
    </xdr:to>
    <xdr:pic>
      <xdr:nvPicPr>
        <xdr:cNvPr id="106" name="647770-60-10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23</xdr:row>
      <xdr:rowOff>190500</xdr:rowOff>
    </xdr:from>
    <xdr:to>
      <xdr:col>3</xdr:col>
      <xdr:colOff>666750</xdr:colOff>
      <xdr:row>23</xdr:row>
      <xdr:rowOff>666750</xdr:rowOff>
    </xdr:to>
    <xdr:pic>
      <xdr:nvPicPr>
        <xdr:cNvPr id="107" name="647770-60-41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24</xdr:row>
      <xdr:rowOff>190500</xdr:rowOff>
    </xdr:from>
    <xdr:to>
      <xdr:col>3</xdr:col>
      <xdr:colOff>666750</xdr:colOff>
      <xdr:row>24</xdr:row>
      <xdr:rowOff>666750</xdr:rowOff>
    </xdr:to>
    <xdr:pic>
      <xdr:nvPicPr>
        <xdr:cNvPr id="108" name="647770-60-51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25</xdr:row>
      <xdr:rowOff>190500</xdr:rowOff>
    </xdr:from>
    <xdr:to>
      <xdr:col>3</xdr:col>
      <xdr:colOff>666750</xdr:colOff>
      <xdr:row>25</xdr:row>
      <xdr:rowOff>666750</xdr:rowOff>
    </xdr:to>
    <xdr:pic>
      <xdr:nvPicPr>
        <xdr:cNvPr id="109" name="647770-60-6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26</xdr:row>
      <xdr:rowOff>190500</xdr:rowOff>
    </xdr:from>
    <xdr:to>
      <xdr:col>3</xdr:col>
      <xdr:colOff>666750</xdr:colOff>
      <xdr:row>26</xdr:row>
      <xdr:rowOff>666750</xdr:rowOff>
    </xdr:to>
    <xdr:pic>
      <xdr:nvPicPr>
        <xdr:cNvPr id="110" name="647770-60-81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27</xdr:row>
      <xdr:rowOff>190500</xdr:rowOff>
    </xdr:from>
    <xdr:to>
      <xdr:col>3</xdr:col>
      <xdr:colOff>533400</xdr:colOff>
      <xdr:row>27</xdr:row>
      <xdr:rowOff>666750</xdr:rowOff>
    </xdr:to>
    <xdr:pic>
      <xdr:nvPicPr>
        <xdr:cNvPr id="126" name="667980-40-81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28</xdr:row>
      <xdr:rowOff>190500</xdr:rowOff>
    </xdr:from>
    <xdr:to>
      <xdr:col>3</xdr:col>
      <xdr:colOff>381000</xdr:colOff>
      <xdr:row>28</xdr:row>
      <xdr:rowOff>666750</xdr:rowOff>
    </xdr:to>
    <xdr:pic>
      <xdr:nvPicPr>
        <xdr:cNvPr id="127" name="673840-4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29</xdr:row>
      <xdr:rowOff>190500</xdr:rowOff>
    </xdr:from>
    <xdr:to>
      <xdr:col>3</xdr:col>
      <xdr:colOff>504825</xdr:colOff>
      <xdr:row>29</xdr:row>
      <xdr:rowOff>666750</xdr:rowOff>
    </xdr:to>
    <xdr:pic>
      <xdr:nvPicPr>
        <xdr:cNvPr id="128" name="646610-40-84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30</xdr:row>
      <xdr:rowOff>190500</xdr:rowOff>
    </xdr:from>
    <xdr:to>
      <xdr:col>3</xdr:col>
      <xdr:colOff>523875</xdr:colOff>
      <xdr:row>30</xdr:row>
      <xdr:rowOff>666750</xdr:rowOff>
    </xdr:to>
    <xdr:pic>
      <xdr:nvPicPr>
        <xdr:cNvPr id="133" name="570260-60-7_2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31</xdr:row>
      <xdr:rowOff>190500</xdr:rowOff>
    </xdr:from>
    <xdr:to>
      <xdr:col>3</xdr:col>
      <xdr:colOff>904875</xdr:colOff>
      <xdr:row>31</xdr:row>
      <xdr:rowOff>666750</xdr:rowOff>
    </xdr:to>
    <xdr:pic>
      <xdr:nvPicPr>
        <xdr:cNvPr id="136" name="724900-40-43_2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32</xdr:row>
      <xdr:rowOff>190500</xdr:rowOff>
    </xdr:from>
    <xdr:to>
      <xdr:col>3</xdr:col>
      <xdr:colOff>666750</xdr:colOff>
      <xdr:row>32</xdr:row>
      <xdr:rowOff>666750</xdr:rowOff>
    </xdr:to>
    <xdr:pic>
      <xdr:nvPicPr>
        <xdr:cNvPr id="141" name="724900-60-5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33</xdr:row>
      <xdr:rowOff>190500</xdr:rowOff>
    </xdr:from>
    <xdr:to>
      <xdr:col>3</xdr:col>
      <xdr:colOff>666750</xdr:colOff>
      <xdr:row>33</xdr:row>
      <xdr:rowOff>666750</xdr:rowOff>
    </xdr:to>
    <xdr:pic>
      <xdr:nvPicPr>
        <xdr:cNvPr id="152" name="725100-40-5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34</xdr:row>
      <xdr:rowOff>190500</xdr:rowOff>
    </xdr:from>
    <xdr:to>
      <xdr:col>3</xdr:col>
      <xdr:colOff>666750</xdr:colOff>
      <xdr:row>34</xdr:row>
      <xdr:rowOff>666750</xdr:rowOff>
    </xdr:to>
    <xdr:pic>
      <xdr:nvPicPr>
        <xdr:cNvPr id="153" name="725100-40-8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35</xdr:row>
      <xdr:rowOff>190500</xdr:rowOff>
    </xdr:from>
    <xdr:to>
      <xdr:col>3</xdr:col>
      <xdr:colOff>542925</xdr:colOff>
      <xdr:row>35</xdr:row>
      <xdr:rowOff>666750</xdr:rowOff>
    </xdr:to>
    <xdr:pic>
      <xdr:nvPicPr>
        <xdr:cNvPr id="161" name="745450-6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37</xdr:row>
      <xdr:rowOff>190500</xdr:rowOff>
    </xdr:from>
    <xdr:to>
      <xdr:col>3</xdr:col>
      <xdr:colOff>542925</xdr:colOff>
      <xdr:row>37</xdr:row>
      <xdr:rowOff>666750</xdr:rowOff>
    </xdr:to>
    <xdr:pic>
      <xdr:nvPicPr>
        <xdr:cNvPr id="183" name="696720-60-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38</xdr:row>
      <xdr:rowOff>190500</xdr:rowOff>
    </xdr:from>
    <xdr:to>
      <xdr:col>3</xdr:col>
      <xdr:colOff>600075</xdr:colOff>
      <xdr:row>38</xdr:row>
      <xdr:rowOff>666750</xdr:rowOff>
    </xdr:to>
    <xdr:pic>
      <xdr:nvPicPr>
        <xdr:cNvPr id="195" name="729820-60-32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39</xdr:row>
      <xdr:rowOff>190500</xdr:rowOff>
    </xdr:from>
    <xdr:to>
      <xdr:col>3</xdr:col>
      <xdr:colOff>542925</xdr:colOff>
      <xdr:row>39</xdr:row>
      <xdr:rowOff>666750</xdr:rowOff>
    </xdr:to>
    <xdr:pic>
      <xdr:nvPicPr>
        <xdr:cNvPr id="196" name="729950-60-4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40</xdr:row>
      <xdr:rowOff>190500</xdr:rowOff>
    </xdr:from>
    <xdr:to>
      <xdr:col>3</xdr:col>
      <xdr:colOff>542925</xdr:colOff>
      <xdr:row>40</xdr:row>
      <xdr:rowOff>666750</xdr:rowOff>
    </xdr:to>
    <xdr:pic>
      <xdr:nvPicPr>
        <xdr:cNvPr id="198" name="729950-60-82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41</xdr:row>
      <xdr:rowOff>190500</xdr:rowOff>
    </xdr:from>
    <xdr:to>
      <xdr:col>3</xdr:col>
      <xdr:colOff>600075</xdr:colOff>
      <xdr:row>41</xdr:row>
      <xdr:rowOff>666750</xdr:rowOff>
    </xdr:to>
    <xdr:pic>
      <xdr:nvPicPr>
        <xdr:cNvPr id="200" name="729990-6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42</xdr:row>
      <xdr:rowOff>190500</xdr:rowOff>
    </xdr:from>
    <xdr:to>
      <xdr:col>3</xdr:col>
      <xdr:colOff>600075</xdr:colOff>
      <xdr:row>42</xdr:row>
      <xdr:rowOff>666750</xdr:rowOff>
    </xdr:to>
    <xdr:pic>
      <xdr:nvPicPr>
        <xdr:cNvPr id="201" name="730070-60-32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43</xdr:row>
      <xdr:rowOff>190500</xdr:rowOff>
    </xdr:from>
    <xdr:to>
      <xdr:col>3</xdr:col>
      <xdr:colOff>504825</xdr:colOff>
      <xdr:row>43</xdr:row>
      <xdr:rowOff>666750</xdr:rowOff>
    </xdr:to>
    <xdr:pic>
      <xdr:nvPicPr>
        <xdr:cNvPr id="202" name="730100-6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44</xdr:row>
      <xdr:rowOff>190500</xdr:rowOff>
    </xdr:from>
    <xdr:to>
      <xdr:col>3</xdr:col>
      <xdr:colOff>542925</xdr:colOff>
      <xdr:row>44</xdr:row>
      <xdr:rowOff>666750</xdr:rowOff>
    </xdr:to>
    <xdr:pic>
      <xdr:nvPicPr>
        <xdr:cNvPr id="203" name="771000-40-10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45</xdr:row>
      <xdr:rowOff>190500</xdr:rowOff>
    </xdr:from>
    <xdr:to>
      <xdr:col>3</xdr:col>
      <xdr:colOff>542925</xdr:colOff>
      <xdr:row>45</xdr:row>
      <xdr:rowOff>666750</xdr:rowOff>
    </xdr:to>
    <xdr:pic>
      <xdr:nvPicPr>
        <xdr:cNvPr id="204" name="771000-40-5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47</xdr:row>
      <xdr:rowOff>190500</xdr:rowOff>
    </xdr:from>
    <xdr:to>
      <xdr:col>3</xdr:col>
      <xdr:colOff>542925</xdr:colOff>
      <xdr:row>47</xdr:row>
      <xdr:rowOff>666750</xdr:rowOff>
    </xdr:to>
    <xdr:pic>
      <xdr:nvPicPr>
        <xdr:cNvPr id="206" name="771160-60-10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48</xdr:row>
      <xdr:rowOff>190500</xdr:rowOff>
    </xdr:from>
    <xdr:to>
      <xdr:col>3</xdr:col>
      <xdr:colOff>542925</xdr:colOff>
      <xdr:row>48</xdr:row>
      <xdr:rowOff>666750</xdr:rowOff>
    </xdr:to>
    <xdr:pic>
      <xdr:nvPicPr>
        <xdr:cNvPr id="207" name="771160-6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49</xdr:row>
      <xdr:rowOff>190500</xdr:rowOff>
    </xdr:from>
    <xdr:to>
      <xdr:col>3</xdr:col>
      <xdr:colOff>428625</xdr:colOff>
      <xdr:row>49</xdr:row>
      <xdr:rowOff>666750</xdr:rowOff>
    </xdr:to>
    <xdr:pic>
      <xdr:nvPicPr>
        <xdr:cNvPr id="208" name="771770-40-10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50</xdr:row>
      <xdr:rowOff>190500</xdr:rowOff>
    </xdr:from>
    <xdr:to>
      <xdr:col>3</xdr:col>
      <xdr:colOff>428625</xdr:colOff>
      <xdr:row>50</xdr:row>
      <xdr:rowOff>666750</xdr:rowOff>
    </xdr:to>
    <xdr:pic>
      <xdr:nvPicPr>
        <xdr:cNvPr id="209" name="771770-4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51</xdr:row>
      <xdr:rowOff>190500</xdr:rowOff>
    </xdr:from>
    <xdr:to>
      <xdr:col>3</xdr:col>
      <xdr:colOff>428625</xdr:colOff>
      <xdr:row>51</xdr:row>
      <xdr:rowOff>666750</xdr:rowOff>
    </xdr:to>
    <xdr:pic>
      <xdr:nvPicPr>
        <xdr:cNvPr id="210" name="771770-60-10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52</xdr:row>
      <xdr:rowOff>190500</xdr:rowOff>
    </xdr:from>
    <xdr:to>
      <xdr:col>3</xdr:col>
      <xdr:colOff>428625</xdr:colOff>
      <xdr:row>52</xdr:row>
      <xdr:rowOff>666750</xdr:rowOff>
    </xdr:to>
    <xdr:pic>
      <xdr:nvPicPr>
        <xdr:cNvPr id="211" name="771770-6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53</xdr:row>
      <xdr:rowOff>190500</xdr:rowOff>
    </xdr:from>
    <xdr:to>
      <xdr:col>3</xdr:col>
      <xdr:colOff>666750</xdr:colOff>
      <xdr:row>53</xdr:row>
      <xdr:rowOff>666750</xdr:rowOff>
    </xdr:to>
    <xdr:pic>
      <xdr:nvPicPr>
        <xdr:cNvPr id="212" name="771840-40-10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54</xdr:row>
      <xdr:rowOff>190500</xdr:rowOff>
    </xdr:from>
    <xdr:to>
      <xdr:col>3</xdr:col>
      <xdr:colOff>542925</xdr:colOff>
      <xdr:row>54</xdr:row>
      <xdr:rowOff>666750</xdr:rowOff>
    </xdr:to>
    <xdr:pic>
      <xdr:nvPicPr>
        <xdr:cNvPr id="249" name="802330-40-4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55</xdr:row>
      <xdr:rowOff>190500</xdr:rowOff>
    </xdr:from>
    <xdr:to>
      <xdr:col>3</xdr:col>
      <xdr:colOff>542925</xdr:colOff>
      <xdr:row>55</xdr:row>
      <xdr:rowOff>666750</xdr:rowOff>
    </xdr:to>
    <xdr:pic>
      <xdr:nvPicPr>
        <xdr:cNvPr id="250" name="802330-40-5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56</xdr:row>
      <xdr:rowOff>190500</xdr:rowOff>
    </xdr:from>
    <xdr:to>
      <xdr:col>3</xdr:col>
      <xdr:colOff>666750</xdr:colOff>
      <xdr:row>56</xdr:row>
      <xdr:rowOff>666750</xdr:rowOff>
    </xdr:to>
    <xdr:pic>
      <xdr:nvPicPr>
        <xdr:cNvPr id="263" name="806450-60-4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57</xdr:row>
      <xdr:rowOff>190500</xdr:rowOff>
    </xdr:from>
    <xdr:to>
      <xdr:col>3</xdr:col>
      <xdr:colOff>666750</xdr:colOff>
      <xdr:row>57</xdr:row>
      <xdr:rowOff>666750</xdr:rowOff>
    </xdr:to>
    <xdr:pic>
      <xdr:nvPicPr>
        <xdr:cNvPr id="265" name="806451-60-122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58</xdr:row>
      <xdr:rowOff>190500</xdr:rowOff>
    </xdr:from>
    <xdr:to>
      <xdr:col>3</xdr:col>
      <xdr:colOff>504825</xdr:colOff>
      <xdr:row>58</xdr:row>
      <xdr:rowOff>666750</xdr:rowOff>
    </xdr:to>
    <xdr:pic>
      <xdr:nvPicPr>
        <xdr:cNvPr id="267" name="806990-60-20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59</xdr:row>
      <xdr:rowOff>190500</xdr:rowOff>
    </xdr:from>
    <xdr:to>
      <xdr:col>3</xdr:col>
      <xdr:colOff>542925</xdr:colOff>
      <xdr:row>59</xdr:row>
      <xdr:rowOff>666750</xdr:rowOff>
    </xdr:to>
    <xdr:pic>
      <xdr:nvPicPr>
        <xdr:cNvPr id="290" name="811300-10-4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60</xdr:row>
      <xdr:rowOff>190500</xdr:rowOff>
    </xdr:from>
    <xdr:to>
      <xdr:col>3</xdr:col>
      <xdr:colOff>542925</xdr:colOff>
      <xdr:row>60</xdr:row>
      <xdr:rowOff>666750</xdr:rowOff>
    </xdr:to>
    <xdr:pic>
      <xdr:nvPicPr>
        <xdr:cNvPr id="291" name="811300-10-52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61</xdr:row>
      <xdr:rowOff>190500</xdr:rowOff>
    </xdr:from>
    <xdr:to>
      <xdr:col>3</xdr:col>
      <xdr:colOff>438150</xdr:colOff>
      <xdr:row>61</xdr:row>
      <xdr:rowOff>666750</xdr:rowOff>
    </xdr:to>
    <xdr:pic>
      <xdr:nvPicPr>
        <xdr:cNvPr id="292" name="811350-10-52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62</xdr:row>
      <xdr:rowOff>190500</xdr:rowOff>
    </xdr:from>
    <xdr:to>
      <xdr:col>3</xdr:col>
      <xdr:colOff>428625</xdr:colOff>
      <xdr:row>62</xdr:row>
      <xdr:rowOff>666750</xdr:rowOff>
    </xdr:to>
    <xdr:pic>
      <xdr:nvPicPr>
        <xdr:cNvPr id="294" name="811351-10-51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63</xdr:row>
      <xdr:rowOff>190500</xdr:rowOff>
    </xdr:from>
    <xdr:to>
      <xdr:col>3</xdr:col>
      <xdr:colOff>428625</xdr:colOff>
      <xdr:row>63</xdr:row>
      <xdr:rowOff>666750</xdr:rowOff>
    </xdr:to>
    <xdr:pic>
      <xdr:nvPicPr>
        <xdr:cNvPr id="295" name="811351-20-51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64</xdr:row>
      <xdr:rowOff>190500</xdr:rowOff>
    </xdr:from>
    <xdr:to>
      <xdr:col>3</xdr:col>
      <xdr:colOff>600075</xdr:colOff>
      <xdr:row>64</xdr:row>
      <xdr:rowOff>666750</xdr:rowOff>
    </xdr:to>
    <xdr:pic>
      <xdr:nvPicPr>
        <xdr:cNvPr id="298" name="827370-40-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65</xdr:row>
      <xdr:rowOff>190500</xdr:rowOff>
    </xdr:from>
    <xdr:to>
      <xdr:col>3</xdr:col>
      <xdr:colOff>581025</xdr:colOff>
      <xdr:row>65</xdr:row>
      <xdr:rowOff>666750</xdr:rowOff>
    </xdr:to>
    <xdr:pic>
      <xdr:nvPicPr>
        <xdr:cNvPr id="299" name="827370-4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66</xdr:row>
      <xdr:rowOff>190500</xdr:rowOff>
    </xdr:from>
    <xdr:to>
      <xdr:col>3</xdr:col>
      <xdr:colOff>666750</xdr:colOff>
      <xdr:row>66</xdr:row>
      <xdr:rowOff>666750</xdr:rowOff>
    </xdr:to>
    <xdr:pic>
      <xdr:nvPicPr>
        <xdr:cNvPr id="325" name="806451-60-5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67</xdr:row>
      <xdr:rowOff>190500</xdr:rowOff>
    </xdr:from>
    <xdr:to>
      <xdr:col>3</xdr:col>
      <xdr:colOff>666750</xdr:colOff>
      <xdr:row>67</xdr:row>
      <xdr:rowOff>666750</xdr:rowOff>
    </xdr:to>
    <xdr:pic>
      <xdr:nvPicPr>
        <xdr:cNvPr id="331" name="875450-6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68</xdr:row>
      <xdr:rowOff>190500</xdr:rowOff>
    </xdr:from>
    <xdr:to>
      <xdr:col>3</xdr:col>
      <xdr:colOff>666750</xdr:colOff>
      <xdr:row>68</xdr:row>
      <xdr:rowOff>666750</xdr:rowOff>
    </xdr:to>
    <xdr:pic>
      <xdr:nvPicPr>
        <xdr:cNvPr id="332" name="875451-60-121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69</xdr:row>
      <xdr:rowOff>190500</xdr:rowOff>
    </xdr:from>
    <xdr:to>
      <xdr:col>3</xdr:col>
      <xdr:colOff>666750</xdr:colOff>
      <xdr:row>69</xdr:row>
      <xdr:rowOff>666750</xdr:rowOff>
    </xdr:to>
    <xdr:pic>
      <xdr:nvPicPr>
        <xdr:cNvPr id="334" name="875460-40-8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70</xdr:row>
      <xdr:rowOff>190500</xdr:rowOff>
    </xdr:from>
    <xdr:to>
      <xdr:col>3</xdr:col>
      <xdr:colOff>666750</xdr:colOff>
      <xdr:row>70</xdr:row>
      <xdr:rowOff>666750</xdr:rowOff>
    </xdr:to>
    <xdr:pic>
      <xdr:nvPicPr>
        <xdr:cNvPr id="336" name="875470-4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73</xdr:row>
      <xdr:rowOff>190500</xdr:rowOff>
    </xdr:from>
    <xdr:to>
      <xdr:col>3</xdr:col>
      <xdr:colOff>571500</xdr:colOff>
      <xdr:row>73</xdr:row>
      <xdr:rowOff>666750</xdr:rowOff>
    </xdr:to>
    <xdr:pic>
      <xdr:nvPicPr>
        <xdr:cNvPr id="340" name="877490-60-11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74</xdr:row>
      <xdr:rowOff>190500</xdr:rowOff>
    </xdr:from>
    <xdr:to>
      <xdr:col>3</xdr:col>
      <xdr:colOff>542925</xdr:colOff>
      <xdr:row>74</xdr:row>
      <xdr:rowOff>666750</xdr:rowOff>
    </xdr:to>
    <xdr:pic>
      <xdr:nvPicPr>
        <xdr:cNvPr id="342" name="877570-6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75</xdr:row>
      <xdr:rowOff>190500</xdr:rowOff>
    </xdr:from>
    <xdr:to>
      <xdr:col>3</xdr:col>
      <xdr:colOff>542925</xdr:colOff>
      <xdr:row>75</xdr:row>
      <xdr:rowOff>666750</xdr:rowOff>
    </xdr:to>
    <xdr:pic>
      <xdr:nvPicPr>
        <xdr:cNvPr id="343" name="877580-60-11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76</xdr:row>
      <xdr:rowOff>190500</xdr:rowOff>
    </xdr:from>
    <xdr:to>
      <xdr:col>3</xdr:col>
      <xdr:colOff>542925</xdr:colOff>
      <xdr:row>76</xdr:row>
      <xdr:rowOff>666750</xdr:rowOff>
    </xdr:to>
    <xdr:pic>
      <xdr:nvPicPr>
        <xdr:cNvPr id="344" name="877580-6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77</xdr:row>
      <xdr:rowOff>190500</xdr:rowOff>
    </xdr:from>
    <xdr:to>
      <xdr:col>3</xdr:col>
      <xdr:colOff>542925</xdr:colOff>
      <xdr:row>77</xdr:row>
      <xdr:rowOff>666750</xdr:rowOff>
    </xdr:to>
    <xdr:pic>
      <xdr:nvPicPr>
        <xdr:cNvPr id="345" name="877590-60-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78</xdr:row>
      <xdr:rowOff>190500</xdr:rowOff>
    </xdr:from>
    <xdr:to>
      <xdr:col>3</xdr:col>
      <xdr:colOff>542925</xdr:colOff>
      <xdr:row>78</xdr:row>
      <xdr:rowOff>666750</xdr:rowOff>
    </xdr:to>
    <xdr:pic>
      <xdr:nvPicPr>
        <xdr:cNvPr id="346" name="877600-6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79</xdr:row>
      <xdr:rowOff>190500</xdr:rowOff>
    </xdr:from>
    <xdr:to>
      <xdr:col>3</xdr:col>
      <xdr:colOff>666750</xdr:colOff>
      <xdr:row>79</xdr:row>
      <xdr:rowOff>666750</xdr:rowOff>
    </xdr:to>
    <xdr:pic>
      <xdr:nvPicPr>
        <xdr:cNvPr id="353" name="771840-60-3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80</xdr:row>
      <xdr:rowOff>190500</xdr:rowOff>
    </xdr:from>
    <xdr:to>
      <xdr:col>3</xdr:col>
      <xdr:colOff>666750</xdr:colOff>
      <xdr:row>80</xdr:row>
      <xdr:rowOff>666750</xdr:rowOff>
    </xdr:to>
    <xdr:pic>
      <xdr:nvPicPr>
        <xdr:cNvPr id="358" name="875460-40-17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81</xdr:row>
      <xdr:rowOff>190500</xdr:rowOff>
    </xdr:from>
    <xdr:to>
      <xdr:col>3</xdr:col>
      <xdr:colOff>666750</xdr:colOff>
      <xdr:row>81</xdr:row>
      <xdr:rowOff>666750</xdr:rowOff>
    </xdr:to>
    <xdr:pic>
      <xdr:nvPicPr>
        <xdr:cNvPr id="359" name="875460-40-4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82</xdr:row>
      <xdr:rowOff>190500</xdr:rowOff>
    </xdr:from>
    <xdr:to>
      <xdr:col>3</xdr:col>
      <xdr:colOff>600075</xdr:colOff>
      <xdr:row>82</xdr:row>
      <xdr:rowOff>666750</xdr:rowOff>
    </xdr:to>
    <xdr:pic>
      <xdr:nvPicPr>
        <xdr:cNvPr id="365" name="492250-6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83</xdr:row>
      <xdr:rowOff>190500</xdr:rowOff>
    </xdr:from>
    <xdr:to>
      <xdr:col>3</xdr:col>
      <xdr:colOff>504825</xdr:colOff>
      <xdr:row>83</xdr:row>
      <xdr:rowOff>666750</xdr:rowOff>
    </xdr:to>
    <xdr:pic>
      <xdr:nvPicPr>
        <xdr:cNvPr id="366" name="492330-60-122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84</xdr:row>
      <xdr:rowOff>190500</xdr:rowOff>
    </xdr:from>
    <xdr:to>
      <xdr:col>3</xdr:col>
      <xdr:colOff>542925</xdr:colOff>
      <xdr:row>84</xdr:row>
      <xdr:rowOff>666750</xdr:rowOff>
    </xdr:to>
    <xdr:pic>
      <xdr:nvPicPr>
        <xdr:cNvPr id="367" name="512760-6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85</xdr:row>
      <xdr:rowOff>190500</xdr:rowOff>
    </xdr:from>
    <xdr:to>
      <xdr:col>3</xdr:col>
      <xdr:colOff>504825</xdr:colOff>
      <xdr:row>85</xdr:row>
      <xdr:rowOff>666750</xdr:rowOff>
    </xdr:to>
    <xdr:pic>
      <xdr:nvPicPr>
        <xdr:cNvPr id="368" name="644520-6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86</xdr:row>
      <xdr:rowOff>190500</xdr:rowOff>
    </xdr:from>
    <xdr:to>
      <xdr:col>3</xdr:col>
      <xdr:colOff>666750</xdr:colOff>
      <xdr:row>86</xdr:row>
      <xdr:rowOff>666750</xdr:rowOff>
    </xdr:to>
    <xdr:pic>
      <xdr:nvPicPr>
        <xdr:cNvPr id="369" name="645771-60-222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87</xdr:row>
      <xdr:rowOff>190500</xdr:rowOff>
    </xdr:from>
    <xdr:to>
      <xdr:col>3</xdr:col>
      <xdr:colOff>542925</xdr:colOff>
      <xdr:row>87</xdr:row>
      <xdr:rowOff>666750</xdr:rowOff>
    </xdr:to>
    <xdr:pic>
      <xdr:nvPicPr>
        <xdr:cNvPr id="372" name="696060-60-42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88</xdr:row>
      <xdr:rowOff>190500</xdr:rowOff>
    </xdr:from>
    <xdr:to>
      <xdr:col>3</xdr:col>
      <xdr:colOff>600075</xdr:colOff>
      <xdr:row>88</xdr:row>
      <xdr:rowOff>666750</xdr:rowOff>
    </xdr:to>
    <xdr:pic>
      <xdr:nvPicPr>
        <xdr:cNvPr id="373" name="696070-60-42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89</xdr:row>
      <xdr:rowOff>190500</xdr:rowOff>
    </xdr:from>
    <xdr:to>
      <xdr:col>3</xdr:col>
      <xdr:colOff>600075</xdr:colOff>
      <xdr:row>89</xdr:row>
      <xdr:rowOff>666750</xdr:rowOff>
    </xdr:to>
    <xdr:pic>
      <xdr:nvPicPr>
        <xdr:cNvPr id="374" name="696340-60-20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91</xdr:row>
      <xdr:rowOff>190500</xdr:rowOff>
    </xdr:from>
    <xdr:to>
      <xdr:col>3</xdr:col>
      <xdr:colOff>600075</xdr:colOff>
      <xdr:row>91</xdr:row>
      <xdr:rowOff>666750</xdr:rowOff>
    </xdr:to>
    <xdr:pic>
      <xdr:nvPicPr>
        <xdr:cNvPr id="375" name="697330-6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92</xdr:row>
      <xdr:rowOff>190500</xdr:rowOff>
    </xdr:from>
    <xdr:to>
      <xdr:col>3</xdr:col>
      <xdr:colOff>542925</xdr:colOff>
      <xdr:row>92</xdr:row>
      <xdr:rowOff>666750</xdr:rowOff>
    </xdr:to>
    <xdr:pic>
      <xdr:nvPicPr>
        <xdr:cNvPr id="376" name="697350-60-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93</xdr:row>
      <xdr:rowOff>190500</xdr:rowOff>
    </xdr:from>
    <xdr:to>
      <xdr:col>3</xdr:col>
      <xdr:colOff>523875</xdr:colOff>
      <xdr:row>93</xdr:row>
      <xdr:rowOff>666750</xdr:rowOff>
    </xdr:to>
    <xdr:pic>
      <xdr:nvPicPr>
        <xdr:cNvPr id="384" name="774170-4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94</xdr:row>
      <xdr:rowOff>190500</xdr:rowOff>
    </xdr:from>
    <xdr:to>
      <xdr:col>3</xdr:col>
      <xdr:colOff>666750</xdr:colOff>
      <xdr:row>94</xdr:row>
      <xdr:rowOff>666750</xdr:rowOff>
    </xdr:to>
    <xdr:pic>
      <xdr:nvPicPr>
        <xdr:cNvPr id="388" name="875472-40-121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95</xdr:row>
      <xdr:rowOff>190500</xdr:rowOff>
    </xdr:from>
    <xdr:to>
      <xdr:col>3</xdr:col>
      <xdr:colOff>666750</xdr:colOff>
      <xdr:row>95</xdr:row>
      <xdr:rowOff>666750</xdr:rowOff>
    </xdr:to>
    <xdr:pic>
      <xdr:nvPicPr>
        <xdr:cNvPr id="391" name="889890-60-10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96</xdr:row>
      <xdr:rowOff>190500</xdr:rowOff>
    </xdr:from>
    <xdr:to>
      <xdr:col>3</xdr:col>
      <xdr:colOff>666750</xdr:colOff>
      <xdr:row>96</xdr:row>
      <xdr:rowOff>666750</xdr:rowOff>
    </xdr:to>
    <xdr:pic>
      <xdr:nvPicPr>
        <xdr:cNvPr id="403" name="891610-4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97</xdr:row>
      <xdr:rowOff>190500</xdr:rowOff>
    </xdr:from>
    <xdr:to>
      <xdr:col>3</xdr:col>
      <xdr:colOff>981075</xdr:colOff>
      <xdr:row>97</xdr:row>
      <xdr:rowOff>666750</xdr:rowOff>
    </xdr:to>
    <xdr:pic>
      <xdr:nvPicPr>
        <xdr:cNvPr id="407" name="852450-61-81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98</xdr:row>
      <xdr:rowOff>190500</xdr:rowOff>
    </xdr:from>
    <xdr:to>
      <xdr:col>3</xdr:col>
      <xdr:colOff>981075</xdr:colOff>
      <xdr:row>98</xdr:row>
      <xdr:rowOff>666750</xdr:rowOff>
    </xdr:to>
    <xdr:pic>
      <xdr:nvPicPr>
        <xdr:cNvPr id="408" name="852450-30-5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99</xdr:row>
      <xdr:rowOff>190500</xdr:rowOff>
    </xdr:from>
    <xdr:to>
      <xdr:col>3</xdr:col>
      <xdr:colOff>981075</xdr:colOff>
      <xdr:row>99</xdr:row>
      <xdr:rowOff>666750</xdr:rowOff>
    </xdr:to>
    <xdr:pic>
      <xdr:nvPicPr>
        <xdr:cNvPr id="409" name="852450-10-34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100</xdr:row>
      <xdr:rowOff>190500</xdr:rowOff>
    </xdr:from>
    <xdr:to>
      <xdr:col>3</xdr:col>
      <xdr:colOff>600075</xdr:colOff>
      <xdr:row>100</xdr:row>
      <xdr:rowOff>666750</xdr:rowOff>
    </xdr:to>
    <xdr:pic>
      <xdr:nvPicPr>
        <xdr:cNvPr id="411" name="877601-6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101</xdr:row>
      <xdr:rowOff>190500</xdr:rowOff>
    </xdr:from>
    <xdr:to>
      <xdr:col>3</xdr:col>
      <xdr:colOff>600075</xdr:colOff>
      <xdr:row>101</xdr:row>
      <xdr:rowOff>666750</xdr:rowOff>
    </xdr:to>
    <xdr:pic>
      <xdr:nvPicPr>
        <xdr:cNvPr id="412" name="877491-6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102</xdr:row>
      <xdr:rowOff>190500</xdr:rowOff>
    </xdr:from>
    <xdr:to>
      <xdr:col>3</xdr:col>
      <xdr:colOff>600075</xdr:colOff>
      <xdr:row>102</xdr:row>
      <xdr:rowOff>666750</xdr:rowOff>
    </xdr:to>
    <xdr:pic>
      <xdr:nvPicPr>
        <xdr:cNvPr id="413" name="877492-60-2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103</xdr:row>
      <xdr:rowOff>190500</xdr:rowOff>
    </xdr:from>
    <xdr:to>
      <xdr:col>3</xdr:col>
      <xdr:colOff>600075</xdr:colOff>
      <xdr:row>103</xdr:row>
      <xdr:rowOff>666750</xdr:rowOff>
    </xdr:to>
    <xdr:pic>
      <xdr:nvPicPr>
        <xdr:cNvPr id="416" name="877581-60-5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104</xdr:row>
      <xdr:rowOff>190500</xdr:rowOff>
    </xdr:from>
    <xdr:to>
      <xdr:col>3</xdr:col>
      <xdr:colOff>600075</xdr:colOff>
      <xdr:row>104</xdr:row>
      <xdr:rowOff>666750</xdr:rowOff>
    </xdr:to>
    <xdr:pic>
      <xdr:nvPicPr>
        <xdr:cNvPr id="417" name="877581-60-7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105</xdr:row>
      <xdr:rowOff>190500</xdr:rowOff>
    </xdr:from>
    <xdr:to>
      <xdr:col>3</xdr:col>
      <xdr:colOff>600075</xdr:colOff>
      <xdr:row>105</xdr:row>
      <xdr:rowOff>666750</xdr:rowOff>
    </xdr:to>
    <xdr:pic>
      <xdr:nvPicPr>
        <xdr:cNvPr id="420" name="900460-6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106</xdr:row>
      <xdr:rowOff>190500</xdr:rowOff>
    </xdr:from>
    <xdr:to>
      <xdr:col>3</xdr:col>
      <xdr:colOff>981075</xdr:colOff>
      <xdr:row>106</xdr:row>
      <xdr:rowOff>666750</xdr:rowOff>
    </xdr:to>
    <xdr:pic>
      <xdr:nvPicPr>
        <xdr:cNvPr id="427" name="903831-30-114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107</xdr:row>
      <xdr:rowOff>190500</xdr:rowOff>
    </xdr:from>
    <xdr:to>
      <xdr:col>3</xdr:col>
      <xdr:colOff>981075</xdr:colOff>
      <xdr:row>107</xdr:row>
      <xdr:rowOff>666750</xdr:rowOff>
    </xdr:to>
    <xdr:pic>
      <xdr:nvPicPr>
        <xdr:cNvPr id="435" name="849010-60-84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108</xdr:row>
      <xdr:rowOff>190500</xdr:rowOff>
    </xdr:from>
    <xdr:to>
      <xdr:col>3</xdr:col>
      <xdr:colOff>981075</xdr:colOff>
      <xdr:row>108</xdr:row>
      <xdr:rowOff>666750</xdr:rowOff>
    </xdr:to>
    <xdr:pic>
      <xdr:nvPicPr>
        <xdr:cNvPr id="436" name="903711-30-84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109</xdr:row>
      <xdr:rowOff>190500</xdr:rowOff>
    </xdr:from>
    <xdr:to>
      <xdr:col>3</xdr:col>
      <xdr:colOff>666750</xdr:colOff>
      <xdr:row>109</xdr:row>
      <xdr:rowOff>666750</xdr:rowOff>
    </xdr:to>
    <xdr:pic>
      <xdr:nvPicPr>
        <xdr:cNvPr id="437" name="908330-6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110</xdr:row>
      <xdr:rowOff>190500</xdr:rowOff>
    </xdr:from>
    <xdr:to>
      <xdr:col>3</xdr:col>
      <xdr:colOff>666750</xdr:colOff>
      <xdr:row>110</xdr:row>
      <xdr:rowOff>666750</xdr:rowOff>
    </xdr:to>
    <xdr:pic>
      <xdr:nvPicPr>
        <xdr:cNvPr id="438" name="908340-60-10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111</xdr:row>
      <xdr:rowOff>190500</xdr:rowOff>
    </xdr:from>
    <xdr:to>
      <xdr:col>3</xdr:col>
      <xdr:colOff>666750</xdr:colOff>
      <xdr:row>111</xdr:row>
      <xdr:rowOff>666750</xdr:rowOff>
    </xdr:to>
    <xdr:pic>
      <xdr:nvPicPr>
        <xdr:cNvPr id="439" name="908340-60-4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112</xdr:row>
      <xdr:rowOff>190500</xdr:rowOff>
    </xdr:from>
    <xdr:to>
      <xdr:col>3</xdr:col>
      <xdr:colOff>666750</xdr:colOff>
      <xdr:row>112</xdr:row>
      <xdr:rowOff>666750</xdr:rowOff>
    </xdr:to>
    <xdr:pic>
      <xdr:nvPicPr>
        <xdr:cNvPr id="440" name="908340-6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113</xdr:row>
      <xdr:rowOff>190500</xdr:rowOff>
    </xdr:from>
    <xdr:to>
      <xdr:col>3</xdr:col>
      <xdr:colOff>981075</xdr:colOff>
      <xdr:row>113</xdr:row>
      <xdr:rowOff>666750</xdr:rowOff>
    </xdr:to>
    <xdr:pic>
      <xdr:nvPicPr>
        <xdr:cNvPr id="448" name="880010-30-101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114</xdr:row>
      <xdr:rowOff>190500</xdr:rowOff>
    </xdr:from>
    <xdr:to>
      <xdr:col>3</xdr:col>
      <xdr:colOff>666750</xdr:colOff>
      <xdr:row>114</xdr:row>
      <xdr:rowOff>666750</xdr:rowOff>
    </xdr:to>
    <xdr:pic>
      <xdr:nvPicPr>
        <xdr:cNvPr id="452" name="908710-4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115</xdr:row>
      <xdr:rowOff>190500</xdr:rowOff>
    </xdr:from>
    <xdr:to>
      <xdr:col>3</xdr:col>
      <xdr:colOff>666750</xdr:colOff>
      <xdr:row>115</xdr:row>
      <xdr:rowOff>666750</xdr:rowOff>
    </xdr:to>
    <xdr:pic>
      <xdr:nvPicPr>
        <xdr:cNvPr id="453" name="908711-40-10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116</xdr:row>
      <xdr:rowOff>190500</xdr:rowOff>
    </xdr:from>
    <xdr:to>
      <xdr:col>3</xdr:col>
      <xdr:colOff>666750</xdr:colOff>
      <xdr:row>116</xdr:row>
      <xdr:rowOff>666750</xdr:rowOff>
    </xdr:to>
    <xdr:pic>
      <xdr:nvPicPr>
        <xdr:cNvPr id="454" name="908711-4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117</xdr:row>
      <xdr:rowOff>190500</xdr:rowOff>
    </xdr:from>
    <xdr:to>
      <xdr:col>3</xdr:col>
      <xdr:colOff>666750</xdr:colOff>
      <xdr:row>117</xdr:row>
      <xdr:rowOff>666750</xdr:rowOff>
    </xdr:to>
    <xdr:pic>
      <xdr:nvPicPr>
        <xdr:cNvPr id="455" name="908712-40-12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118</xdr:row>
      <xdr:rowOff>190500</xdr:rowOff>
    </xdr:from>
    <xdr:to>
      <xdr:col>3</xdr:col>
      <xdr:colOff>666750</xdr:colOff>
      <xdr:row>118</xdr:row>
      <xdr:rowOff>666750</xdr:rowOff>
    </xdr:to>
    <xdr:pic>
      <xdr:nvPicPr>
        <xdr:cNvPr id="456" name="908870-4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119</xdr:row>
      <xdr:rowOff>190500</xdr:rowOff>
    </xdr:from>
    <xdr:to>
      <xdr:col>3</xdr:col>
      <xdr:colOff>666750</xdr:colOff>
      <xdr:row>119</xdr:row>
      <xdr:rowOff>666750</xdr:rowOff>
    </xdr:to>
    <xdr:pic>
      <xdr:nvPicPr>
        <xdr:cNvPr id="458" name="908961-4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120</xdr:row>
      <xdr:rowOff>190500</xdr:rowOff>
    </xdr:from>
    <xdr:to>
      <xdr:col>3</xdr:col>
      <xdr:colOff>666750</xdr:colOff>
      <xdr:row>120</xdr:row>
      <xdr:rowOff>666750</xdr:rowOff>
    </xdr:to>
    <xdr:pic>
      <xdr:nvPicPr>
        <xdr:cNvPr id="464" name="909001-60-121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121</xdr:row>
      <xdr:rowOff>190500</xdr:rowOff>
    </xdr:from>
    <xdr:to>
      <xdr:col>3</xdr:col>
      <xdr:colOff>666750</xdr:colOff>
      <xdr:row>121</xdr:row>
      <xdr:rowOff>666750</xdr:rowOff>
    </xdr:to>
    <xdr:pic>
      <xdr:nvPicPr>
        <xdr:cNvPr id="465" name="771840-60-10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122</xdr:row>
      <xdr:rowOff>190500</xdr:rowOff>
    </xdr:from>
    <xdr:to>
      <xdr:col>3</xdr:col>
      <xdr:colOff>666750</xdr:colOff>
      <xdr:row>122</xdr:row>
      <xdr:rowOff>666750</xdr:rowOff>
    </xdr:to>
    <xdr:pic>
      <xdr:nvPicPr>
        <xdr:cNvPr id="467" name="875460-40-10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123</xdr:row>
      <xdr:rowOff>190500</xdr:rowOff>
    </xdr:from>
    <xdr:to>
      <xdr:col>3</xdr:col>
      <xdr:colOff>666750</xdr:colOff>
      <xdr:row>123</xdr:row>
      <xdr:rowOff>666750</xdr:rowOff>
    </xdr:to>
    <xdr:pic>
      <xdr:nvPicPr>
        <xdr:cNvPr id="468" name="909030-6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124</xdr:row>
      <xdr:rowOff>190500</xdr:rowOff>
    </xdr:from>
    <xdr:to>
      <xdr:col>3</xdr:col>
      <xdr:colOff>981075</xdr:colOff>
      <xdr:row>124</xdr:row>
      <xdr:rowOff>666750</xdr:rowOff>
    </xdr:to>
    <xdr:pic>
      <xdr:nvPicPr>
        <xdr:cNvPr id="470" name="849010-40-82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125</xdr:row>
      <xdr:rowOff>190500</xdr:rowOff>
    </xdr:from>
    <xdr:to>
      <xdr:col>3</xdr:col>
      <xdr:colOff>666750</xdr:colOff>
      <xdr:row>125</xdr:row>
      <xdr:rowOff>666750</xdr:rowOff>
    </xdr:to>
    <xdr:pic>
      <xdr:nvPicPr>
        <xdr:cNvPr id="490" name="914960-60-1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128</xdr:row>
      <xdr:rowOff>190500</xdr:rowOff>
    </xdr:from>
    <xdr:to>
      <xdr:col>3</xdr:col>
      <xdr:colOff>666750</xdr:colOff>
      <xdr:row>128</xdr:row>
      <xdr:rowOff>666750</xdr:rowOff>
    </xdr:to>
    <xdr:pic>
      <xdr:nvPicPr>
        <xdr:cNvPr id="491" name="885191-60-1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129</xdr:row>
      <xdr:rowOff>190500</xdr:rowOff>
    </xdr:from>
    <xdr:to>
      <xdr:col>3</xdr:col>
      <xdr:colOff>666750</xdr:colOff>
      <xdr:row>129</xdr:row>
      <xdr:rowOff>666750</xdr:rowOff>
    </xdr:to>
    <xdr:pic>
      <xdr:nvPicPr>
        <xdr:cNvPr id="492" name="885231-60-1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130</xdr:row>
      <xdr:rowOff>190500</xdr:rowOff>
    </xdr:from>
    <xdr:to>
      <xdr:col>3</xdr:col>
      <xdr:colOff>666750</xdr:colOff>
      <xdr:row>130</xdr:row>
      <xdr:rowOff>666750</xdr:rowOff>
    </xdr:to>
    <xdr:pic>
      <xdr:nvPicPr>
        <xdr:cNvPr id="495" name="885451-40-1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131</xdr:row>
      <xdr:rowOff>190500</xdr:rowOff>
    </xdr:from>
    <xdr:to>
      <xdr:col>3</xdr:col>
      <xdr:colOff>666750</xdr:colOff>
      <xdr:row>131</xdr:row>
      <xdr:rowOff>666750</xdr:rowOff>
    </xdr:to>
    <xdr:pic>
      <xdr:nvPicPr>
        <xdr:cNvPr id="496" name="885451-60-1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132</xdr:row>
      <xdr:rowOff>190500</xdr:rowOff>
    </xdr:from>
    <xdr:to>
      <xdr:col>3</xdr:col>
      <xdr:colOff>666750</xdr:colOff>
      <xdr:row>132</xdr:row>
      <xdr:rowOff>666750</xdr:rowOff>
    </xdr:to>
    <xdr:pic>
      <xdr:nvPicPr>
        <xdr:cNvPr id="497" name="885461-40-1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133</xdr:row>
      <xdr:rowOff>190500</xdr:rowOff>
    </xdr:from>
    <xdr:to>
      <xdr:col>3</xdr:col>
      <xdr:colOff>571500</xdr:colOff>
      <xdr:row>133</xdr:row>
      <xdr:rowOff>666750</xdr:rowOff>
    </xdr:to>
    <xdr:pic>
      <xdr:nvPicPr>
        <xdr:cNvPr id="501" name="885521-60-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135</xdr:row>
      <xdr:rowOff>190500</xdr:rowOff>
    </xdr:from>
    <xdr:to>
      <xdr:col>3</xdr:col>
      <xdr:colOff>981075</xdr:colOff>
      <xdr:row>135</xdr:row>
      <xdr:rowOff>666750</xdr:rowOff>
    </xdr:to>
    <xdr:pic>
      <xdr:nvPicPr>
        <xdr:cNvPr id="505" name="849010-61-84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136</xdr:row>
      <xdr:rowOff>190500</xdr:rowOff>
    </xdr:from>
    <xdr:to>
      <xdr:col>3</xdr:col>
      <xdr:colOff>981075</xdr:colOff>
      <xdr:row>136</xdr:row>
      <xdr:rowOff>666750</xdr:rowOff>
    </xdr:to>
    <xdr:pic>
      <xdr:nvPicPr>
        <xdr:cNvPr id="507" name="849010-41-82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137</xdr:row>
      <xdr:rowOff>190500</xdr:rowOff>
    </xdr:from>
    <xdr:to>
      <xdr:col>3</xdr:col>
      <xdr:colOff>981075</xdr:colOff>
      <xdr:row>137</xdr:row>
      <xdr:rowOff>666750</xdr:rowOff>
    </xdr:to>
    <xdr:pic>
      <xdr:nvPicPr>
        <xdr:cNvPr id="508" name="880010-30-101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138</xdr:row>
      <xdr:rowOff>190500</xdr:rowOff>
    </xdr:from>
    <xdr:to>
      <xdr:col>3</xdr:col>
      <xdr:colOff>981075</xdr:colOff>
      <xdr:row>138</xdr:row>
      <xdr:rowOff>666750</xdr:rowOff>
    </xdr:to>
    <xdr:pic>
      <xdr:nvPicPr>
        <xdr:cNvPr id="509" name="903710-41-10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139</xdr:row>
      <xdr:rowOff>190500</xdr:rowOff>
    </xdr:from>
    <xdr:to>
      <xdr:col>3</xdr:col>
      <xdr:colOff>981075</xdr:colOff>
      <xdr:row>139</xdr:row>
      <xdr:rowOff>666750</xdr:rowOff>
    </xdr:to>
    <xdr:pic>
      <xdr:nvPicPr>
        <xdr:cNvPr id="510" name="903710-41-8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140</xdr:row>
      <xdr:rowOff>190500</xdr:rowOff>
    </xdr:from>
    <xdr:to>
      <xdr:col>3</xdr:col>
      <xdr:colOff>981075</xdr:colOff>
      <xdr:row>140</xdr:row>
      <xdr:rowOff>666750</xdr:rowOff>
    </xdr:to>
    <xdr:pic>
      <xdr:nvPicPr>
        <xdr:cNvPr id="511" name="903711-31-84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141</xdr:row>
      <xdr:rowOff>190500</xdr:rowOff>
    </xdr:from>
    <xdr:to>
      <xdr:col>3</xdr:col>
      <xdr:colOff>981075</xdr:colOff>
      <xdr:row>141</xdr:row>
      <xdr:rowOff>666750</xdr:rowOff>
    </xdr:to>
    <xdr:pic>
      <xdr:nvPicPr>
        <xdr:cNvPr id="512" name="903831-30-114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142</xdr:row>
      <xdr:rowOff>190500</xdr:rowOff>
    </xdr:from>
    <xdr:to>
      <xdr:col>3</xdr:col>
      <xdr:colOff>485775</xdr:colOff>
      <xdr:row>142</xdr:row>
      <xdr:rowOff>666750</xdr:rowOff>
    </xdr:to>
    <xdr:pic>
      <xdr:nvPicPr>
        <xdr:cNvPr id="517" name="917910-60-10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143</xdr:row>
      <xdr:rowOff>190500</xdr:rowOff>
    </xdr:from>
    <xdr:to>
      <xdr:col>3</xdr:col>
      <xdr:colOff>666750</xdr:colOff>
      <xdr:row>143</xdr:row>
      <xdr:rowOff>666750</xdr:rowOff>
    </xdr:to>
    <xdr:pic>
      <xdr:nvPicPr>
        <xdr:cNvPr id="518" name="917910-6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144</xdr:row>
      <xdr:rowOff>190500</xdr:rowOff>
    </xdr:from>
    <xdr:to>
      <xdr:col>3</xdr:col>
      <xdr:colOff>666750</xdr:colOff>
      <xdr:row>144</xdr:row>
      <xdr:rowOff>666750</xdr:rowOff>
    </xdr:to>
    <xdr:pic>
      <xdr:nvPicPr>
        <xdr:cNvPr id="519" name="917911-60-12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145</xdr:row>
      <xdr:rowOff>190500</xdr:rowOff>
    </xdr:from>
    <xdr:to>
      <xdr:col>3</xdr:col>
      <xdr:colOff>666750</xdr:colOff>
      <xdr:row>145</xdr:row>
      <xdr:rowOff>666750</xdr:rowOff>
    </xdr:to>
    <xdr:pic>
      <xdr:nvPicPr>
        <xdr:cNvPr id="523" name="918760-6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146</xdr:row>
      <xdr:rowOff>190500</xdr:rowOff>
    </xdr:from>
    <xdr:to>
      <xdr:col>3</xdr:col>
      <xdr:colOff>666750</xdr:colOff>
      <xdr:row>146</xdr:row>
      <xdr:rowOff>666750</xdr:rowOff>
    </xdr:to>
    <xdr:pic>
      <xdr:nvPicPr>
        <xdr:cNvPr id="524" name="918790-60-9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147</xdr:row>
      <xdr:rowOff>190500</xdr:rowOff>
    </xdr:from>
    <xdr:to>
      <xdr:col>3</xdr:col>
      <xdr:colOff>666750</xdr:colOff>
      <xdr:row>147</xdr:row>
      <xdr:rowOff>666750</xdr:rowOff>
    </xdr:to>
    <xdr:pic>
      <xdr:nvPicPr>
        <xdr:cNvPr id="525" name="918810-60-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148</xdr:row>
      <xdr:rowOff>190500</xdr:rowOff>
    </xdr:from>
    <xdr:to>
      <xdr:col>3</xdr:col>
      <xdr:colOff>666750</xdr:colOff>
      <xdr:row>148</xdr:row>
      <xdr:rowOff>666750</xdr:rowOff>
    </xdr:to>
    <xdr:pic>
      <xdr:nvPicPr>
        <xdr:cNvPr id="528" name="922270-6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149</xdr:row>
      <xdr:rowOff>190500</xdr:rowOff>
    </xdr:from>
    <xdr:to>
      <xdr:col>3</xdr:col>
      <xdr:colOff>666750</xdr:colOff>
      <xdr:row>149</xdr:row>
      <xdr:rowOff>666750</xdr:rowOff>
    </xdr:to>
    <xdr:pic>
      <xdr:nvPicPr>
        <xdr:cNvPr id="529" name="922300-60-10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150</xdr:row>
      <xdr:rowOff>190500</xdr:rowOff>
    </xdr:from>
    <xdr:to>
      <xdr:col>3</xdr:col>
      <xdr:colOff>666750</xdr:colOff>
      <xdr:row>150</xdr:row>
      <xdr:rowOff>666750</xdr:rowOff>
    </xdr:to>
    <xdr:pic>
      <xdr:nvPicPr>
        <xdr:cNvPr id="531" name="922300-6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151</xdr:row>
      <xdr:rowOff>190500</xdr:rowOff>
    </xdr:from>
    <xdr:to>
      <xdr:col>3</xdr:col>
      <xdr:colOff>666750</xdr:colOff>
      <xdr:row>151</xdr:row>
      <xdr:rowOff>666750</xdr:rowOff>
    </xdr:to>
    <xdr:pic>
      <xdr:nvPicPr>
        <xdr:cNvPr id="532" name="922470-60-10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152</xdr:row>
      <xdr:rowOff>190500</xdr:rowOff>
    </xdr:from>
    <xdr:to>
      <xdr:col>3</xdr:col>
      <xdr:colOff>666750</xdr:colOff>
      <xdr:row>152</xdr:row>
      <xdr:rowOff>666750</xdr:rowOff>
    </xdr:to>
    <xdr:pic>
      <xdr:nvPicPr>
        <xdr:cNvPr id="536" name="729280-60-3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153</xdr:row>
      <xdr:rowOff>190500</xdr:rowOff>
    </xdr:from>
    <xdr:to>
      <xdr:col>3</xdr:col>
      <xdr:colOff>666750</xdr:colOff>
      <xdr:row>153</xdr:row>
      <xdr:rowOff>666750</xdr:rowOff>
    </xdr:to>
    <xdr:pic>
      <xdr:nvPicPr>
        <xdr:cNvPr id="537" name="729280-60-8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154</xdr:row>
      <xdr:rowOff>190500</xdr:rowOff>
    </xdr:from>
    <xdr:to>
      <xdr:col>3</xdr:col>
      <xdr:colOff>666750</xdr:colOff>
      <xdr:row>154</xdr:row>
      <xdr:rowOff>666750</xdr:rowOff>
    </xdr:to>
    <xdr:pic>
      <xdr:nvPicPr>
        <xdr:cNvPr id="541" name="922840-6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155</xdr:row>
      <xdr:rowOff>190500</xdr:rowOff>
    </xdr:from>
    <xdr:to>
      <xdr:col>3</xdr:col>
      <xdr:colOff>666750</xdr:colOff>
      <xdr:row>155</xdr:row>
      <xdr:rowOff>666750</xdr:rowOff>
    </xdr:to>
    <xdr:pic>
      <xdr:nvPicPr>
        <xdr:cNvPr id="543" name="924111-60-12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156</xdr:row>
      <xdr:rowOff>190500</xdr:rowOff>
    </xdr:from>
    <xdr:to>
      <xdr:col>3</xdr:col>
      <xdr:colOff>666750</xdr:colOff>
      <xdr:row>156</xdr:row>
      <xdr:rowOff>666750</xdr:rowOff>
    </xdr:to>
    <xdr:pic>
      <xdr:nvPicPr>
        <xdr:cNvPr id="544" name="806992-60-114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157</xdr:row>
      <xdr:rowOff>190500</xdr:rowOff>
    </xdr:from>
    <xdr:to>
      <xdr:col>3</xdr:col>
      <xdr:colOff>981075</xdr:colOff>
      <xdr:row>157</xdr:row>
      <xdr:rowOff>666750</xdr:rowOff>
    </xdr:to>
    <xdr:pic>
      <xdr:nvPicPr>
        <xdr:cNvPr id="545" name="924780-60-10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158</xdr:row>
      <xdr:rowOff>190500</xdr:rowOff>
    </xdr:from>
    <xdr:to>
      <xdr:col>3</xdr:col>
      <xdr:colOff>981075</xdr:colOff>
      <xdr:row>158</xdr:row>
      <xdr:rowOff>666750</xdr:rowOff>
    </xdr:to>
    <xdr:pic>
      <xdr:nvPicPr>
        <xdr:cNvPr id="546" name="924790-60-10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159</xdr:row>
      <xdr:rowOff>190500</xdr:rowOff>
    </xdr:from>
    <xdr:to>
      <xdr:col>3</xdr:col>
      <xdr:colOff>981075</xdr:colOff>
      <xdr:row>159</xdr:row>
      <xdr:rowOff>666750</xdr:rowOff>
    </xdr:to>
    <xdr:pic>
      <xdr:nvPicPr>
        <xdr:cNvPr id="552" name="924841-30-12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160</xdr:row>
      <xdr:rowOff>190500</xdr:rowOff>
    </xdr:from>
    <xdr:to>
      <xdr:col>3</xdr:col>
      <xdr:colOff>981075</xdr:colOff>
      <xdr:row>160</xdr:row>
      <xdr:rowOff>666750</xdr:rowOff>
    </xdr:to>
    <xdr:pic>
      <xdr:nvPicPr>
        <xdr:cNvPr id="554" name="865060-6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161</xdr:row>
      <xdr:rowOff>190500</xdr:rowOff>
    </xdr:from>
    <xdr:to>
      <xdr:col>3</xdr:col>
      <xdr:colOff>666750</xdr:colOff>
      <xdr:row>161</xdr:row>
      <xdr:rowOff>666750</xdr:rowOff>
    </xdr:to>
    <xdr:pic>
      <xdr:nvPicPr>
        <xdr:cNvPr id="562" name="922260-60-10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162</xdr:row>
      <xdr:rowOff>190500</xdr:rowOff>
    </xdr:from>
    <xdr:to>
      <xdr:col>3</xdr:col>
      <xdr:colOff>666750</xdr:colOff>
      <xdr:row>162</xdr:row>
      <xdr:rowOff>666750</xdr:rowOff>
    </xdr:to>
    <xdr:pic>
      <xdr:nvPicPr>
        <xdr:cNvPr id="564" name="926180-6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163</xdr:row>
      <xdr:rowOff>190500</xdr:rowOff>
    </xdr:from>
    <xdr:to>
      <xdr:col>3</xdr:col>
      <xdr:colOff>666750</xdr:colOff>
      <xdr:row>163</xdr:row>
      <xdr:rowOff>666750</xdr:rowOff>
    </xdr:to>
    <xdr:pic>
      <xdr:nvPicPr>
        <xdr:cNvPr id="565" name="729280-60-16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164</xdr:row>
      <xdr:rowOff>190500</xdr:rowOff>
    </xdr:from>
    <xdr:to>
      <xdr:col>3</xdr:col>
      <xdr:colOff>981075</xdr:colOff>
      <xdr:row>164</xdr:row>
      <xdr:rowOff>666750</xdr:rowOff>
    </xdr:to>
    <xdr:pic>
      <xdr:nvPicPr>
        <xdr:cNvPr id="570" name="924790-60-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165</xdr:row>
      <xdr:rowOff>190500</xdr:rowOff>
    </xdr:from>
    <xdr:to>
      <xdr:col>3</xdr:col>
      <xdr:colOff>666750</xdr:colOff>
      <xdr:row>165</xdr:row>
      <xdr:rowOff>666750</xdr:rowOff>
    </xdr:to>
    <xdr:pic>
      <xdr:nvPicPr>
        <xdr:cNvPr id="571" name="926220-6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166</xdr:row>
      <xdr:rowOff>190500</xdr:rowOff>
    </xdr:from>
    <xdr:to>
      <xdr:col>3</xdr:col>
      <xdr:colOff>981075</xdr:colOff>
      <xdr:row>166</xdr:row>
      <xdr:rowOff>666750</xdr:rowOff>
    </xdr:to>
    <xdr:pic>
      <xdr:nvPicPr>
        <xdr:cNvPr id="573" name="852432-40-34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167</xdr:row>
      <xdr:rowOff>190500</xdr:rowOff>
    </xdr:from>
    <xdr:to>
      <xdr:col>3</xdr:col>
      <xdr:colOff>981075</xdr:colOff>
      <xdr:row>167</xdr:row>
      <xdr:rowOff>666750</xdr:rowOff>
    </xdr:to>
    <xdr:pic>
      <xdr:nvPicPr>
        <xdr:cNvPr id="574" name="852433-40-34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168</xdr:row>
      <xdr:rowOff>190500</xdr:rowOff>
    </xdr:from>
    <xdr:to>
      <xdr:col>3</xdr:col>
      <xdr:colOff>666750</xdr:colOff>
      <xdr:row>168</xdr:row>
      <xdr:rowOff>666750</xdr:rowOff>
    </xdr:to>
    <xdr:pic>
      <xdr:nvPicPr>
        <xdr:cNvPr id="575" name="918600-70-5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169</xdr:row>
      <xdr:rowOff>190500</xdr:rowOff>
    </xdr:from>
    <xdr:to>
      <xdr:col>3</xdr:col>
      <xdr:colOff>666750</xdr:colOff>
      <xdr:row>169</xdr:row>
      <xdr:rowOff>666750</xdr:rowOff>
    </xdr:to>
    <xdr:pic>
      <xdr:nvPicPr>
        <xdr:cNvPr id="576" name="918700-60-11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170</xdr:row>
      <xdr:rowOff>190500</xdr:rowOff>
    </xdr:from>
    <xdr:to>
      <xdr:col>3</xdr:col>
      <xdr:colOff>666750</xdr:colOff>
      <xdr:row>170</xdr:row>
      <xdr:rowOff>666750</xdr:rowOff>
    </xdr:to>
    <xdr:pic>
      <xdr:nvPicPr>
        <xdr:cNvPr id="577" name="918700-60-52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171</xdr:row>
      <xdr:rowOff>190500</xdr:rowOff>
    </xdr:from>
    <xdr:to>
      <xdr:col>3</xdr:col>
      <xdr:colOff>666750</xdr:colOff>
      <xdr:row>171</xdr:row>
      <xdr:rowOff>666750</xdr:rowOff>
    </xdr:to>
    <xdr:pic>
      <xdr:nvPicPr>
        <xdr:cNvPr id="579" name="918710-60-52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172</xdr:row>
      <xdr:rowOff>190500</xdr:rowOff>
    </xdr:from>
    <xdr:to>
      <xdr:col>3</xdr:col>
      <xdr:colOff>666750</xdr:colOff>
      <xdr:row>172</xdr:row>
      <xdr:rowOff>666750</xdr:rowOff>
    </xdr:to>
    <xdr:pic>
      <xdr:nvPicPr>
        <xdr:cNvPr id="580" name="918760-60-7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173</xdr:row>
      <xdr:rowOff>190500</xdr:rowOff>
    </xdr:from>
    <xdr:to>
      <xdr:col>3</xdr:col>
      <xdr:colOff>666750</xdr:colOff>
      <xdr:row>173</xdr:row>
      <xdr:rowOff>666750</xdr:rowOff>
    </xdr:to>
    <xdr:pic>
      <xdr:nvPicPr>
        <xdr:cNvPr id="581" name="918790-60-51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174</xdr:row>
      <xdr:rowOff>190500</xdr:rowOff>
    </xdr:from>
    <xdr:to>
      <xdr:col>3</xdr:col>
      <xdr:colOff>666750</xdr:colOff>
      <xdr:row>174</xdr:row>
      <xdr:rowOff>666750</xdr:rowOff>
    </xdr:to>
    <xdr:pic>
      <xdr:nvPicPr>
        <xdr:cNvPr id="582" name="918810-60-11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175</xdr:row>
      <xdr:rowOff>190500</xdr:rowOff>
    </xdr:from>
    <xdr:to>
      <xdr:col>3</xdr:col>
      <xdr:colOff>666750</xdr:colOff>
      <xdr:row>175</xdr:row>
      <xdr:rowOff>666750</xdr:rowOff>
    </xdr:to>
    <xdr:pic>
      <xdr:nvPicPr>
        <xdr:cNvPr id="583" name="918820-60-7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176</xdr:row>
      <xdr:rowOff>190500</xdr:rowOff>
    </xdr:from>
    <xdr:to>
      <xdr:col>3</xdr:col>
      <xdr:colOff>666750</xdr:colOff>
      <xdr:row>176</xdr:row>
      <xdr:rowOff>666750</xdr:rowOff>
    </xdr:to>
    <xdr:pic>
      <xdr:nvPicPr>
        <xdr:cNvPr id="584" name="931360-60-11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177</xdr:row>
      <xdr:rowOff>190500</xdr:rowOff>
    </xdr:from>
    <xdr:to>
      <xdr:col>3</xdr:col>
      <xdr:colOff>666750</xdr:colOff>
      <xdr:row>177</xdr:row>
      <xdr:rowOff>666750</xdr:rowOff>
    </xdr:to>
    <xdr:pic>
      <xdr:nvPicPr>
        <xdr:cNvPr id="585" name="931360-60-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179</xdr:row>
      <xdr:rowOff>190500</xdr:rowOff>
    </xdr:from>
    <xdr:to>
      <xdr:col>3</xdr:col>
      <xdr:colOff>981075</xdr:colOff>
      <xdr:row>179</xdr:row>
      <xdr:rowOff>666750</xdr:rowOff>
    </xdr:to>
    <xdr:pic>
      <xdr:nvPicPr>
        <xdr:cNvPr id="597" name="924822-61-10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180</xdr:row>
      <xdr:rowOff>190500</xdr:rowOff>
    </xdr:from>
    <xdr:to>
      <xdr:col>3</xdr:col>
      <xdr:colOff>981075</xdr:colOff>
      <xdr:row>180</xdr:row>
      <xdr:rowOff>666750</xdr:rowOff>
    </xdr:to>
    <xdr:pic>
      <xdr:nvPicPr>
        <xdr:cNvPr id="598" name="924780-61-10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181</xdr:row>
      <xdr:rowOff>190500</xdr:rowOff>
    </xdr:from>
    <xdr:to>
      <xdr:col>3</xdr:col>
      <xdr:colOff>981075</xdr:colOff>
      <xdr:row>181</xdr:row>
      <xdr:rowOff>666750</xdr:rowOff>
    </xdr:to>
    <xdr:pic>
      <xdr:nvPicPr>
        <xdr:cNvPr id="599" name="924790-61-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182</xdr:row>
      <xdr:rowOff>190500</xdr:rowOff>
    </xdr:from>
    <xdr:to>
      <xdr:col>3</xdr:col>
      <xdr:colOff>981075</xdr:colOff>
      <xdr:row>182</xdr:row>
      <xdr:rowOff>666750</xdr:rowOff>
    </xdr:to>
    <xdr:pic>
      <xdr:nvPicPr>
        <xdr:cNvPr id="600" name="852432-41-34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183</xdr:row>
      <xdr:rowOff>190500</xdr:rowOff>
    </xdr:from>
    <xdr:to>
      <xdr:col>3</xdr:col>
      <xdr:colOff>981075</xdr:colOff>
      <xdr:row>183</xdr:row>
      <xdr:rowOff>666750</xdr:rowOff>
    </xdr:to>
    <xdr:pic>
      <xdr:nvPicPr>
        <xdr:cNvPr id="601" name="852433-41-34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184</xdr:row>
      <xdr:rowOff>190500</xdr:rowOff>
    </xdr:from>
    <xdr:to>
      <xdr:col>3</xdr:col>
      <xdr:colOff>981075</xdr:colOff>
      <xdr:row>184</xdr:row>
      <xdr:rowOff>666750</xdr:rowOff>
    </xdr:to>
    <xdr:pic>
      <xdr:nvPicPr>
        <xdr:cNvPr id="602" name="852433-41-81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185</xdr:row>
      <xdr:rowOff>190500</xdr:rowOff>
    </xdr:from>
    <xdr:to>
      <xdr:col>3</xdr:col>
      <xdr:colOff>981075</xdr:colOff>
      <xdr:row>185</xdr:row>
      <xdr:rowOff>666750</xdr:rowOff>
    </xdr:to>
    <xdr:pic>
      <xdr:nvPicPr>
        <xdr:cNvPr id="603" name="924840-41-12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186</xdr:row>
      <xdr:rowOff>190500</xdr:rowOff>
    </xdr:from>
    <xdr:to>
      <xdr:col>3</xdr:col>
      <xdr:colOff>981075</xdr:colOff>
      <xdr:row>186</xdr:row>
      <xdr:rowOff>666750</xdr:rowOff>
    </xdr:to>
    <xdr:pic>
      <xdr:nvPicPr>
        <xdr:cNvPr id="604" name="924841-31-12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187</xdr:row>
      <xdr:rowOff>190500</xdr:rowOff>
    </xdr:from>
    <xdr:to>
      <xdr:col>3</xdr:col>
      <xdr:colOff>666750</xdr:colOff>
      <xdr:row>187</xdr:row>
      <xdr:rowOff>666750</xdr:rowOff>
    </xdr:to>
    <xdr:pic>
      <xdr:nvPicPr>
        <xdr:cNvPr id="605" name="648611-62-114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188</xdr:row>
      <xdr:rowOff>190500</xdr:rowOff>
    </xdr:from>
    <xdr:to>
      <xdr:col>3</xdr:col>
      <xdr:colOff>666750</xdr:colOff>
      <xdr:row>188</xdr:row>
      <xdr:rowOff>666750</xdr:rowOff>
    </xdr:to>
    <xdr:pic>
      <xdr:nvPicPr>
        <xdr:cNvPr id="606" name="729280-65-16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189</xdr:row>
      <xdr:rowOff>190500</xdr:rowOff>
    </xdr:from>
    <xdr:to>
      <xdr:col>3</xdr:col>
      <xdr:colOff>666750</xdr:colOff>
      <xdr:row>189</xdr:row>
      <xdr:rowOff>666750</xdr:rowOff>
    </xdr:to>
    <xdr:pic>
      <xdr:nvPicPr>
        <xdr:cNvPr id="607" name="729280-65-3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190</xdr:row>
      <xdr:rowOff>190500</xdr:rowOff>
    </xdr:from>
    <xdr:to>
      <xdr:col>3</xdr:col>
      <xdr:colOff>666750</xdr:colOff>
      <xdr:row>190</xdr:row>
      <xdr:rowOff>666750</xdr:rowOff>
    </xdr:to>
    <xdr:pic>
      <xdr:nvPicPr>
        <xdr:cNvPr id="610" name="771840-61-3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191</xdr:row>
      <xdr:rowOff>190500</xdr:rowOff>
    </xdr:from>
    <xdr:to>
      <xdr:col>3</xdr:col>
      <xdr:colOff>390525</xdr:colOff>
      <xdr:row>191</xdr:row>
      <xdr:rowOff>666750</xdr:rowOff>
    </xdr:to>
    <xdr:pic>
      <xdr:nvPicPr>
        <xdr:cNvPr id="611" name="771840-60-42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192</xdr:row>
      <xdr:rowOff>190500</xdr:rowOff>
    </xdr:from>
    <xdr:to>
      <xdr:col>3</xdr:col>
      <xdr:colOff>666750</xdr:colOff>
      <xdr:row>192</xdr:row>
      <xdr:rowOff>666750</xdr:rowOff>
    </xdr:to>
    <xdr:pic>
      <xdr:nvPicPr>
        <xdr:cNvPr id="616" name="891570-40-10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193</xdr:row>
      <xdr:rowOff>190500</xdr:rowOff>
    </xdr:from>
    <xdr:to>
      <xdr:col>3</xdr:col>
      <xdr:colOff>666750</xdr:colOff>
      <xdr:row>193</xdr:row>
      <xdr:rowOff>666750</xdr:rowOff>
    </xdr:to>
    <xdr:pic>
      <xdr:nvPicPr>
        <xdr:cNvPr id="617" name="891620-40-10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194</xdr:row>
      <xdr:rowOff>190500</xdr:rowOff>
    </xdr:from>
    <xdr:to>
      <xdr:col>3</xdr:col>
      <xdr:colOff>666750</xdr:colOff>
      <xdr:row>194</xdr:row>
      <xdr:rowOff>666750</xdr:rowOff>
    </xdr:to>
    <xdr:pic>
      <xdr:nvPicPr>
        <xdr:cNvPr id="628" name="939080-60-4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195</xdr:row>
      <xdr:rowOff>190500</xdr:rowOff>
    </xdr:from>
    <xdr:to>
      <xdr:col>3</xdr:col>
      <xdr:colOff>666750</xdr:colOff>
      <xdr:row>195</xdr:row>
      <xdr:rowOff>666750</xdr:rowOff>
    </xdr:to>
    <xdr:pic>
      <xdr:nvPicPr>
        <xdr:cNvPr id="630" name="939120-60-1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196</xdr:row>
      <xdr:rowOff>190500</xdr:rowOff>
    </xdr:from>
    <xdr:to>
      <xdr:col>3</xdr:col>
      <xdr:colOff>666750</xdr:colOff>
      <xdr:row>196</xdr:row>
      <xdr:rowOff>666750</xdr:rowOff>
    </xdr:to>
    <xdr:pic>
      <xdr:nvPicPr>
        <xdr:cNvPr id="637" name="939650-60-1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197</xdr:row>
      <xdr:rowOff>190500</xdr:rowOff>
    </xdr:from>
    <xdr:to>
      <xdr:col>3</xdr:col>
      <xdr:colOff>666750</xdr:colOff>
      <xdr:row>197</xdr:row>
      <xdr:rowOff>666750</xdr:rowOff>
    </xdr:to>
    <xdr:pic>
      <xdr:nvPicPr>
        <xdr:cNvPr id="641" name="885122-60-1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198</xdr:row>
      <xdr:rowOff>190500</xdr:rowOff>
    </xdr:from>
    <xdr:to>
      <xdr:col>3</xdr:col>
      <xdr:colOff>666750</xdr:colOff>
      <xdr:row>198</xdr:row>
      <xdr:rowOff>666750</xdr:rowOff>
    </xdr:to>
    <xdr:pic>
      <xdr:nvPicPr>
        <xdr:cNvPr id="643" name="942390-60-10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199</xdr:row>
      <xdr:rowOff>190500</xdr:rowOff>
    </xdr:from>
    <xdr:to>
      <xdr:col>3</xdr:col>
      <xdr:colOff>666750</xdr:colOff>
      <xdr:row>199</xdr:row>
      <xdr:rowOff>666750</xdr:rowOff>
    </xdr:to>
    <xdr:pic>
      <xdr:nvPicPr>
        <xdr:cNvPr id="657" name="943640-4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200</xdr:row>
      <xdr:rowOff>190500</xdr:rowOff>
    </xdr:from>
    <xdr:to>
      <xdr:col>3</xdr:col>
      <xdr:colOff>666750</xdr:colOff>
      <xdr:row>200</xdr:row>
      <xdr:rowOff>666750</xdr:rowOff>
    </xdr:to>
    <xdr:pic>
      <xdr:nvPicPr>
        <xdr:cNvPr id="662" name="943640-6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201</xdr:row>
      <xdr:rowOff>190500</xdr:rowOff>
    </xdr:from>
    <xdr:to>
      <xdr:col>3</xdr:col>
      <xdr:colOff>666750</xdr:colOff>
      <xdr:row>201</xdr:row>
      <xdr:rowOff>666750</xdr:rowOff>
    </xdr:to>
    <xdr:pic>
      <xdr:nvPicPr>
        <xdr:cNvPr id="664" name="943650-40-12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202</xdr:row>
      <xdr:rowOff>190500</xdr:rowOff>
    </xdr:from>
    <xdr:to>
      <xdr:col>3</xdr:col>
      <xdr:colOff>666750</xdr:colOff>
      <xdr:row>202</xdr:row>
      <xdr:rowOff>666750</xdr:rowOff>
    </xdr:to>
    <xdr:pic>
      <xdr:nvPicPr>
        <xdr:cNvPr id="669" name="943650-60-12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203</xdr:row>
      <xdr:rowOff>190500</xdr:rowOff>
    </xdr:from>
    <xdr:to>
      <xdr:col>3</xdr:col>
      <xdr:colOff>666750</xdr:colOff>
      <xdr:row>203</xdr:row>
      <xdr:rowOff>666750</xdr:rowOff>
    </xdr:to>
    <xdr:pic>
      <xdr:nvPicPr>
        <xdr:cNvPr id="674" name="943850-40-12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204</xdr:row>
      <xdr:rowOff>190500</xdr:rowOff>
    </xdr:from>
    <xdr:to>
      <xdr:col>3</xdr:col>
      <xdr:colOff>666750</xdr:colOff>
      <xdr:row>204</xdr:row>
      <xdr:rowOff>666750</xdr:rowOff>
    </xdr:to>
    <xdr:pic>
      <xdr:nvPicPr>
        <xdr:cNvPr id="678" name="943850-60-12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205</xdr:row>
      <xdr:rowOff>190500</xdr:rowOff>
    </xdr:from>
    <xdr:to>
      <xdr:col>3</xdr:col>
      <xdr:colOff>666750</xdr:colOff>
      <xdr:row>205</xdr:row>
      <xdr:rowOff>666750</xdr:rowOff>
    </xdr:to>
    <xdr:pic>
      <xdr:nvPicPr>
        <xdr:cNvPr id="720" name="944370-60-214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206</xdr:row>
      <xdr:rowOff>190500</xdr:rowOff>
    </xdr:from>
    <xdr:to>
      <xdr:col>3</xdr:col>
      <xdr:colOff>666750</xdr:colOff>
      <xdr:row>206</xdr:row>
      <xdr:rowOff>666750</xdr:rowOff>
    </xdr:to>
    <xdr:pic>
      <xdr:nvPicPr>
        <xdr:cNvPr id="724" name="944430-4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207</xdr:row>
      <xdr:rowOff>190500</xdr:rowOff>
    </xdr:from>
    <xdr:to>
      <xdr:col>3</xdr:col>
      <xdr:colOff>666750</xdr:colOff>
      <xdr:row>207</xdr:row>
      <xdr:rowOff>666750</xdr:rowOff>
    </xdr:to>
    <xdr:pic>
      <xdr:nvPicPr>
        <xdr:cNvPr id="725" name="944480-40-10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208</xdr:row>
      <xdr:rowOff>190500</xdr:rowOff>
    </xdr:from>
    <xdr:to>
      <xdr:col>3</xdr:col>
      <xdr:colOff>666750</xdr:colOff>
      <xdr:row>208</xdr:row>
      <xdr:rowOff>666750</xdr:rowOff>
    </xdr:to>
    <xdr:pic>
      <xdr:nvPicPr>
        <xdr:cNvPr id="726" name="944480-4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209</xdr:row>
      <xdr:rowOff>190500</xdr:rowOff>
    </xdr:from>
    <xdr:to>
      <xdr:col>3</xdr:col>
      <xdr:colOff>666750</xdr:colOff>
      <xdr:row>209</xdr:row>
      <xdr:rowOff>666750</xdr:rowOff>
    </xdr:to>
    <xdr:pic>
      <xdr:nvPicPr>
        <xdr:cNvPr id="728" name="771840-40-10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210</xdr:row>
      <xdr:rowOff>190500</xdr:rowOff>
    </xdr:from>
    <xdr:to>
      <xdr:col>3</xdr:col>
      <xdr:colOff>666750</xdr:colOff>
      <xdr:row>210</xdr:row>
      <xdr:rowOff>666750</xdr:rowOff>
    </xdr:to>
    <xdr:pic>
      <xdr:nvPicPr>
        <xdr:cNvPr id="730" name="944610-60-10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211</xdr:row>
      <xdr:rowOff>190500</xdr:rowOff>
    </xdr:from>
    <xdr:to>
      <xdr:col>3</xdr:col>
      <xdr:colOff>666750</xdr:colOff>
      <xdr:row>211</xdr:row>
      <xdr:rowOff>666750</xdr:rowOff>
    </xdr:to>
    <xdr:pic>
      <xdr:nvPicPr>
        <xdr:cNvPr id="735" name="944830-60-10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212</xdr:row>
      <xdr:rowOff>190500</xdr:rowOff>
    </xdr:from>
    <xdr:to>
      <xdr:col>3</xdr:col>
      <xdr:colOff>981075</xdr:colOff>
      <xdr:row>212</xdr:row>
      <xdr:rowOff>666750</xdr:rowOff>
    </xdr:to>
    <xdr:pic>
      <xdr:nvPicPr>
        <xdr:cNvPr id="738" name="815780-60-5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213</xdr:row>
      <xdr:rowOff>190500</xdr:rowOff>
    </xdr:from>
    <xdr:to>
      <xdr:col>3</xdr:col>
      <xdr:colOff>666750</xdr:colOff>
      <xdr:row>213</xdr:row>
      <xdr:rowOff>666750</xdr:rowOff>
    </xdr:to>
    <xdr:pic>
      <xdr:nvPicPr>
        <xdr:cNvPr id="740" name="918660-60-202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214</xdr:row>
      <xdr:rowOff>190500</xdr:rowOff>
    </xdr:from>
    <xdr:to>
      <xdr:col>3</xdr:col>
      <xdr:colOff>981075</xdr:colOff>
      <xdr:row>214</xdr:row>
      <xdr:rowOff>666750</xdr:rowOff>
    </xdr:to>
    <xdr:pic>
      <xdr:nvPicPr>
        <xdr:cNvPr id="744" name="944540-4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215</xdr:row>
      <xdr:rowOff>190500</xdr:rowOff>
    </xdr:from>
    <xdr:to>
      <xdr:col>3</xdr:col>
      <xdr:colOff>981075</xdr:colOff>
      <xdr:row>215</xdr:row>
      <xdr:rowOff>666750</xdr:rowOff>
    </xdr:to>
    <xdr:pic>
      <xdr:nvPicPr>
        <xdr:cNvPr id="745" name="944540-40-81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216</xdr:row>
      <xdr:rowOff>190500</xdr:rowOff>
    </xdr:from>
    <xdr:to>
      <xdr:col>3</xdr:col>
      <xdr:colOff>981075</xdr:colOff>
      <xdr:row>216</xdr:row>
      <xdr:rowOff>666750</xdr:rowOff>
    </xdr:to>
    <xdr:pic>
      <xdr:nvPicPr>
        <xdr:cNvPr id="749" name="944630-30-10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217</xdr:row>
      <xdr:rowOff>190500</xdr:rowOff>
    </xdr:from>
    <xdr:to>
      <xdr:col>3</xdr:col>
      <xdr:colOff>981075</xdr:colOff>
      <xdr:row>217</xdr:row>
      <xdr:rowOff>666750</xdr:rowOff>
    </xdr:to>
    <xdr:pic>
      <xdr:nvPicPr>
        <xdr:cNvPr id="750" name="944630-30-84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218</xdr:row>
      <xdr:rowOff>190500</xdr:rowOff>
    </xdr:from>
    <xdr:to>
      <xdr:col>3</xdr:col>
      <xdr:colOff>981075</xdr:colOff>
      <xdr:row>218</xdr:row>
      <xdr:rowOff>666750</xdr:rowOff>
    </xdr:to>
    <xdr:pic>
      <xdr:nvPicPr>
        <xdr:cNvPr id="752" name="944760-40-4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219</xdr:row>
      <xdr:rowOff>190500</xdr:rowOff>
    </xdr:from>
    <xdr:to>
      <xdr:col>3</xdr:col>
      <xdr:colOff>504825</xdr:colOff>
      <xdr:row>219</xdr:row>
      <xdr:rowOff>666750</xdr:rowOff>
    </xdr:to>
    <xdr:pic>
      <xdr:nvPicPr>
        <xdr:cNvPr id="754" name="944960-60-62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220</xdr:row>
      <xdr:rowOff>190500</xdr:rowOff>
    </xdr:from>
    <xdr:to>
      <xdr:col>3</xdr:col>
      <xdr:colOff>819150</xdr:colOff>
      <xdr:row>220</xdr:row>
      <xdr:rowOff>666750</xdr:rowOff>
    </xdr:to>
    <xdr:pic>
      <xdr:nvPicPr>
        <xdr:cNvPr id="755" name="944970-6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221</xdr:row>
      <xdr:rowOff>190500</xdr:rowOff>
    </xdr:from>
    <xdr:to>
      <xdr:col>3</xdr:col>
      <xdr:colOff>504825</xdr:colOff>
      <xdr:row>221</xdr:row>
      <xdr:rowOff>666750</xdr:rowOff>
    </xdr:to>
    <xdr:pic>
      <xdr:nvPicPr>
        <xdr:cNvPr id="756" name="945030-6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222</xdr:row>
      <xdr:rowOff>190500</xdr:rowOff>
    </xdr:from>
    <xdr:to>
      <xdr:col>3</xdr:col>
      <xdr:colOff>666750</xdr:colOff>
      <xdr:row>222</xdr:row>
      <xdr:rowOff>666750</xdr:rowOff>
    </xdr:to>
    <xdr:pic>
      <xdr:nvPicPr>
        <xdr:cNvPr id="768" name="945510-60-1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223</xdr:row>
      <xdr:rowOff>190500</xdr:rowOff>
    </xdr:from>
    <xdr:to>
      <xdr:col>3</xdr:col>
      <xdr:colOff>666750</xdr:colOff>
      <xdr:row>223</xdr:row>
      <xdr:rowOff>666750</xdr:rowOff>
    </xdr:to>
    <xdr:pic>
      <xdr:nvPicPr>
        <xdr:cNvPr id="771" name="945580-60-2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224</xdr:row>
      <xdr:rowOff>190500</xdr:rowOff>
    </xdr:from>
    <xdr:to>
      <xdr:col>3</xdr:col>
      <xdr:colOff>981075</xdr:colOff>
      <xdr:row>224</xdr:row>
      <xdr:rowOff>666750</xdr:rowOff>
    </xdr:to>
    <xdr:pic>
      <xdr:nvPicPr>
        <xdr:cNvPr id="780" name="948090-40-81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225</xdr:row>
      <xdr:rowOff>190500</xdr:rowOff>
    </xdr:from>
    <xdr:to>
      <xdr:col>3</xdr:col>
      <xdr:colOff>981075</xdr:colOff>
      <xdr:row>225</xdr:row>
      <xdr:rowOff>666750</xdr:rowOff>
    </xdr:to>
    <xdr:pic>
      <xdr:nvPicPr>
        <xdr:cNvPr id="792" name="944540-60-10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226</xdr:row>
      <xdr:rowOff>190500</xdr:rowOff>
    </xdr:from>
    <xdr:to>
      <xdr:col>3</xdr:col>
      <xdr:colOff>981075</xdr:colOff>
      <xdr:row>226</xdr:row>
      <xdr:rowOff>666750</xdr:rowOff>
    </xdr:to>
    <xdr:pic>
      <xdr:nvPicPr>
        <xdr:cNvPr id="793" name="944540-61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227</xdr:row>
      <xdr:rowOff>190500</xdr:rowOff>
    </xdr:from>
    <xdr:to>
      <xdr:col>3</xdr:col>
      <xdr:colOff>981075</xdr:colOff>
      <xdr:row>227</xdr:row>
      <xdr:rowOff>666750</xdr:rowOff>
    </xdr:to>
    <xdr:pic>
      <xdr:nvPicPr>
        <xdr:cNvPr id="794" name="944550-6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228</xdr:row>
      <xdr:rowOff>190500</xdr:rowOff>
    </xdr:from>
    <xdr:to>
      <xdr:col>3</xdr:col>
      <xdr:colOff>666750</xdr:colOff>
      <xdr:row>228</xdr:row>
      <xdr:rowOff>666750</xdr:rowOff>
    </xdr:to>
    <xdr:pic>
      <xdr:nvPicPr>
        <xdr:cNvPr id="795" name="944500-41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229</xdr:row>
      <xdr:rowOff>190500</xdr:rowOff>
    </xdr:from>
    <xdr:to>
      <xdr:col>3</xdr:col>
      <xdr:colOff>666750</xdr:colOff>
      <xdr:row>229</xdr:row>
      <xdr:rowOff>666750</xdr:rowOff>
    </xdr:to>
    <xdr:pic>
      <xdr:nvPicPr>
        <xdr:cNvPr id="796" name="944510-41-10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230</xdr:row>
      <xdr:rowOff>190500</xdr:rowOff>
    </xdr:from>
    <xdr:to>
      <xdr:col>3</xdr:col>
      <xdr:colOff>981075</xdr:colOff>
      <xdr:row>230</xdr:row>
      <xdr:rowOff>666750</xdr:rowOff>
    </xdr:to>
    <xdr:pic>
      <xdr:nvPicPr>
        <xdr:cNvPr id="797" name="949940-70-84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231</xdr:row>
      <xdr:rowOff>190500</xdr:rowOff>
    </xdr:from>
    <xdr:to>
      <xdr:col>3</xdr:col>
      <xdr:colOff>981075</xdr:colOff>
      <xdr:row>231</xdr:row>
      <xdr:rowOff>666750</xdr:rowOff>
    </xdr:to>
    <xdr:pic>
      <xdr:nvPicPr>
        <xdr:cNvPr id="798" name="815780-60-5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232</xdr:row>
      <xdr:rowOff>190500</xdr:rowOff>
    </xdr:from>
    <xdr:to>
      <xdr:col>3</xdr:col>
      <xdr:colOff>981075</xdr:colOff>
      <xdr:row>232</xdr:row>
      <xdr:rowOff>666750</xdr:rowOff>
    </xdr:to>
    <xdr:pic>
      <xdr:nvPicPr>
        <xdr:cNvPr id="801" name="944540-40-10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233</xdr:row>
      <xdr:rowOff>190500</xdr:rowOff>
    </xdr:from>
    <xdr:to>
      <xdr:col>3</xdr:col>
      <xdr:colOff>981075</xdr:colOff>
      <xdr:row>233</xdr:row>
      <xdr:rowOff>666750</xdr:rowOff>
    </xdr:to>
    <xdr:pic>
      <xdr:nvPicPr>
        <xdr:cNvPr id="804" name="944630-31-84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234</xdr:row>
      <xdr:rowOff>190500</xdr:rowOff>
    </xdr:from>
    <xdr:to>
      <xdr:col>3</xdr:col>
      <xdr:colOff>981075</xdr:colOff>
      <xdr:row>234</xdr:row>
      <xdr:rowOff>666750</xdr:rowOff>
    </xdr:to>
    <xdr:pic>
      <xdr:nvPicPr>
        <xdr:cNvPr id="805" name="944760-40-4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235</xdr:row>
      <xdr:rowOff>190500</xdr:rowOff>
    </xdr:from>
    <xdr:to>
      <xdr:col>3</xdr:col>
      <xdr:colOff>666750</xdr:colOff>
      <xdr:row>235</xdr:row>
      <xdr:rowOff>666750</xdr:rowOff>
    </xdr:to>
    <xdr:pic>
      <xdr:nvPicPr>
        <xdr:cNvPr id="811" name="951020-60-10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236</xdr:row>
      <xdr:rowOff>190500</xdr:rowOff>
    </xdr:from>
    <xdr:to>
      <xdr:col>3</xdr:col>
      <xdr:colOff>981075</xdr:colOff>
      <xdr:row>236</xdr:row>
      <xdr:rowOff>666750</xdr:rowOff>
    </xdr:to>
    <xdr:pic>
      <xdr:nvPicPr>
        <xdr:cNvPr id="814" name="944570-60-114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237</xdr:row>
      <xdr:rowOff>190500</xdr:rowOff>
    </xdr:from>
    <xdr:to>
      <xdr:col>3</xdr:col>
      <xdr:colOff>981075</xdr:colOff>
      <xdr:row>237</xdr:row>
      <xdr:rowOff>666750</xdr:rowOff>
    </xdr:to>
    <xdr:pic>
      <xdr:nvPicPr>
        <xdr:cNvPr id="816" name="957510-30-34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238</xdr:row>
      <xdr:rowOff>190500</xdr:rowOff>
    </xdr:from>
    <xdr:to>
      <xdr:col>3</xdr:col>
      <xdr:colOff>981075</xdr:colOff>
      <xdr:row>238</xdr:row>
      <xdr:rowOff>666750</xdr:rowOff>
    </xdr:to>
    <xdr:pic>
      <xdr:nvPicPr>
        <xdr:cNvPr id="823" name="957640-30-17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240</xdr:row>
      <xdr:rowOff>190500</xdr:rowOff>
    </xdr:from>
    <xdr:to>
      <xdr:col>3</xdr:col>
      <xdr:colOff>666750</xdr:colOff>
      <xdr:row>240</xdr:row>
      <xdr:rowOff>666750</xdr:rowOff>
    </xdr:to>
    <xdr:pic>
      <xdr:nvPicPr>
        <xdr:cNvPr id="825" name="957710-60-10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241</xdr:row>
      <xdr:rowOff>190500</xdr:rowOff>
    </xdr:from>
    <xdr:to>
      <xdr:col>3</xdr:col>
      <xdr:colOff>666750</xdr:colOff>
      <xdr:row>241</xdr:row>
      <xdr:rowOff>666750</xdr:rowOff>
    </xdr:to>
    <xdr:pic>
      <xdr:nvPicPr>
        <xdr:cNvPr id="826" name="957720-60-55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242</xdr:row>
      <xdr:rowOff>190500</xdr:rowOff>
    </xdr:from>
    <xdr:to>
      <xdr:col>3</xdr:col>
      <xdr:colOff>666750</xdr:colOff>
      <xdr:row>242</xdr:row>
      <xdr:rowOff>666750</xdr:rowOff>
    </xdr:to>
    <xdr:pic>
      <xdr:nvPicPr>
        <xdr:cNvPr id="830" name="958140-60-10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243</xdr:row>
      <xdr:rowOff>190500</xdr:rowOff>
    </xdr:from>
    <xdr:to>
      <xdr:col>3</xdr:col>
      <xdr:colOff>666750</xdr:colOff>
      <xdr:row>243</xdr:row>
      <xdr:rowOff>666750</xdr:rowOff>
    </xdr:to>
    <xdr:pic>
      <xdr:nvPicPr>
        <xdr:cNvPr id="831" name="958140-60-55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244</xdr:row>
      <xdr:rowOff>190500</xdr:rowOff>
    </xdr:from>
    <xdr:to>
      <xdr:col>3</xdr:col>
      <xdr:colOff>666750</xdr:colOff>
      <xdr:row>244</xdr:row>
      <xdr:rowOff>666750</xdr:rowOff>
    </xdr:to>
    <xdr:pic>
      <xdr:nvPicPr>
        <xdr:cNvPr id="832" name="958140-6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245</xdr:row>
      <xdr:rowOff>190500</xdr:rowOff>
    </xdr:from>
    <xdr:to>
      <xdr:col>3</xdr:col>
      <xdr:colOff>666750</xdr:colOff>
      <xdr:row>245</xdr:row>
      <xdr:rowOff>666750</xdr:rowOff>
    </xdr:to>
    <xdr:pic>
      <xdr:nvPicPr>
        <xdr:cNvPr id="835" name="958150-6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246</xdr:row>
      <xdr:rowOff>190500</xdr:rowOff>
    </xdr:from>
    <xdr:to>
      <xdr:col>3</xdr:col>
      <xdr:colOff>666750</xdr:colOff>
      <xdr:row>246</xdr:row>
      <xdr:rowOff>666750</xdr:rowOff>
    </xdr:to>
    <xdr:pic>
      <xdr:nvPicPr>
        <xdr:cNvPr id="836" name="958200-60-10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247</xdr:row>
      <xdr:rowOff>190500</xdr:rowOff>
    </xdr:from>
    <xdr:to>
      <xdr:col>3</xdr:col>
      <xdr:colOff>666750</xdr:colOff>
      <xdr:row>247</xdr:row>
      <xdr:rowOff>666750</xdr:rowOff>
    </xdr:to>
    <xdr:pic>
      <xdr:nvPicPr>
        <xdr:cNvPr id="838" name="958200-6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248</xdr:row>
      <xdr:rowOff>190500</xdr:rowOff>
    </xdr:from>
    <xdr:to>
      <xdr:col>3</xdr:col>
      <xdr:colOff>666750</xdr:colOff>
      <xdr:row>248</xdr:row>
      <xdr:rowOff>666750</xdr:rowOff>
    </xdr:to>
    <xdr:pic>
      <xdr:nvPicPr>
        <xdr:cNvPr id="840" name="958240-60-10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249</xdr:row>
      <xdr:rowOff>190500</xdr:rowOff>
    </xdr:from>
    <xdr:to>
      <xdr:col>3</xdr:col>
      <xdr:colOff>666750</xdr:colOff>
      <xdr:row>249</xdr:row>
      <xdr:rowOff>666750</xdr:rowOff>
    </xdr:to>
    <xdr:pic>
      <xdr:nvPicPr>
        <xdr:cNvPr id="841" name="958240-6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250</xdr:row>
      <xdr:rowOff>190500</xdr:rowOff>
    </xdr:from>
    <xdr:to>
      <xdr:col>3</xdr:col>
      <xdr:colOff>666750</xdr:colOff>
      <xdr:row>250</xdr:row>
      <xdr:rowOff>666750</xdr:rowOff>
    </xdr:to>
    <xdr:pic>
      <xdr:nvPicPr>
        <xdr:cNvPr id="845" name="958360-60-10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251</xdr:row>
      <xdr:rowOff>190500</xdr:rowOff>
    </xdr:from>
    <xdr:to>
      <xdr:col>3</xdr:col>
      <xdr:colOff>981075</xdr:colOff>
      <xdr:row>251</xdr:row>
      <xdr:rowOff>666750</xdr:rowOff>
    </xdr:to>
    <xdr:pic>
      <xdr:nvPicPr>
        <xdr:cNvPr id="848" name="852450-30-135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252</xdr:row>
      <xdr:rowOff>190500</xdr:rowOff>
    </xdr:from>
    <xdr:to>
      <xdr:col>3</xdr:col>
      <xdr:colOff>666750</xdr:colOff>
      <xdr:row>252</xdr:row>
      <xdr:rowOff>666750</xdr:rowOff>
    </xdr:to>
    <xdr:pic>
      <xdr:nvPicPr>
        <xdr:cNvPr id="851" name="959410-60-3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253</xdr:row>
      <xdr:rowOff>190500</xdr:rowOff>
    </xdr:from>
    <xdr:to>
      <xdr:col>3</xdr:col>
      <xdr:colOff>666750</xdr:colOff>
      <xdr:row>253</xdr:row>
      <xdr:rowOff>666750</xdr:rowOff>
    </xdr:to>
    <xdr:pic>
      <xdr:nvPicPr>
        <xdr:cNvPr id="852" name="959420-60-5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254</xdr:row>
      <xdr:rowOff>190500</xdr:rowOff>
    </xdr:from>
    <xdr:to>
      <xdr:col>3</xdr:col>
      <xdr:colOff>666750</xdr:colOff>
      <xdr:row>254</xdr:row>
      <xdr:rowOff>666750</xdr:rowOff>
    </xdr:to>
    <xdr:pic>
      <xdr:nvPicPr>
        <xdr:cNvPr id="853" name="959420-60-6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255</xdr:row>
      <xdr:rowOff>190500</xdr:rowOff>
    </xdr:from>
    <xdr:to>
      <xdr:col>3</xdr:col>
      <xdr:colOff>666750</xdr:colOff>
      <xdr:row>255</xdr:row>
      <xdr:rowOff>666750</xdr:rowOff>
    </xdr:to>
    <xdr:pic>
      <xdr:nvPicPr>
        <xdr:cNvPr id="854" name="959430-60-3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256</xdr:row>
      <xdr:rowOff>190500</xdr:rowOff>
    </xdr:from>
    <xdr:to>
      <xdr:col>3</xdr:col>
      <xdr:colOff>666750</xdr:colOff>
      <xdr:row>256</xdr:row>
      <xdr:rowOff>666750</xdr:rowOff>
    </xdr:to>
    <xdr:pic>
      <xdr:nvPicPr>
        <xdr:cNvPr id="855" name="959430-60-5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258</xdr:row>
      <xdr:rowOff>190500</xdr:rowOff>
    </xdr:from>
    <xdr:to>
      <xdr:col>3</xdr:col>
      <xdr:colOff>666750</xdr:colOff>
      <xdr:row>258</xdr:row>
      <xdr:rowOff>666750</xdr:rowOff>
    </xdr:to>
    <xdr:pic>
      <xdr:nvPicPr>
        <xdr:cNvPr id="856" name="959450-60-6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259</xdr:row>
      <xdr:rowOff>190500</xdr:rowOff>
    </xdr:from>
    <xdr:to>
      <xdr:col>3</xdr:col>
      <xdr:colOff>666750</xdr:colOff>
      <xdr:row>259</xdr:row>
      <xdr:rowOff>666750</xdr:rowOff>
    </xdr:to>
    <xdr:pic>
      <xdr:nvPicPr>
        <xdr:cNvPr id="857" name="959480-70-51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260</xdr:row>
      <xdr:rowOff>190500</xdr:rowOff>
    </xdr:from>
    <xdr:to>
      <xdr:col>3</xdr:col>
      <xdr:colOff>666750</xdr:colOff>
      <xdr:row>260</xdr:row>
      <xdr:rowOff>666750</xdr:rowOff>
    </xdr:to>
    <xdr:pic>
      <xdr:nvPicPr>
        <xdr:cNvPr id="858" name="959490-70-51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261</xdr:row>
      <xdr:rowOff>190500</xdr:rowOff>
    </xdr:from>
    <xdr:to>
      <xdr:col>3</xdr:col>
      <xdr:colOff>666750</xdr:colOff>
      <xdr:row>261</xdr:row>
      <xdr:rowOff>666750</xdr:rowOff>
    </xdr:to>
    <xdr:pic>
      <xdr:nvPicPr>
        <xdr:cNvPr id="859" name="959570-60-5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262</xdr:row>
      <xdr:rowOff>190500</xdr:rowOff>
    </xdr:from>
    <xdr:to>
      <xdr:col>3</xdr:col>
      <xdr:colOff>666750</xdr:colOff>
      <xdr:row>262</xdr:row>
      <xdr:rowOff>666750</xdr:rowOff>
    </xdr:to>
    <xdr:pic>
      <xdr:nvPicPr>
        <xdr:cNvPr id="860" name="959580-60-5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263</xdr:row>
      <xdr:rowOff>190500</xdr:rowOff>
    </xdr:from>
    <xdr:to>
      <xdr:col>3</xdr:col>
      <xdr:colOff>666750</xdr:colOff>
      <xdr:row>263</xdr:row>
      <xdr:rowOff>666750</xdr:rowOff>
    </xdr:to>
    <xdr:pic>
      <xdr:nvPicPr>
        <xdr:cNvPr id="861" name="959590-60-5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264</xdr:row>
      <xdr:rowOff>190500</xdr:rowOff>
    </xdr:from>
    <xdr:to>
      <xdr:col>3</xdr:col>
      <xdr:colOff>666750</xdr:colOff>
      <xdr:row>264</xdr:row>
      <xdr:rowOff>666750</xdr:rowOff>
    </xdr:to>
    <xdr:pic>
      <xdr:nvPicPr>
        <xdr:cNvPr id="862" name="959700-60-5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265</xdr:row>
      <xdr:rowOff>190500</xdr:rowOff>
    </xdr:from>
    <xdr:to>
      <xdr:col>3</xdr:col>
      <xdr:colOff>666750</xdr:colOff>
      <xdr:row>265</xdr:row>
      <xdr:rowOff>666750</xdr:rowOff>
    </xdr:to>
    <xdr:pic>
      <xdr:nvPicPr>
        <xdr:cNvPr id="863" name="959700-60-6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266</xdr:row>
      <xdr:rowOff>190500</xdr:rowOff>
    </xdr:from>
    <xdr:to>
      <xdr:col>3</xdr:col>
      <xdr:colOff>666750</xdr:colOff>
      <xdr:row>266</xdr:row>
      <xdr:rowOff>666750</xdr:rowOff>
    </xdr:to>
    <xdr:pic>
      <xdr:nvPicPr>
        <xdr:cNvPr id="864" name="959710-60-3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267</xdr:row>
      <xdr:rowOff>190500</xdr:rowOff>
    </xdr:from>
    <xdr:to>
      <xdr:col>3</xdr:col>
      <xdr:colOff>666750</xdr:colOff>
      <xdr:row>267</xdr:row>
      <xdr:rowOff>666750</xdr:rowOff>
    </xdr:to>
    <xdr:pic>
      <xdr:nvPicPr>
        <xdr:cNvPr id="865" name="959710-60-55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268</xdr:row>
      <xdr:rowOff>190500</xdr:rowOff>
    </xdr:from>
    <xdr:to>
      <xdr:col>3</xdr:col>
      <xdr:colOff>666750</xdr:colOff>
      <xdr:row>268</xdr:row>
      <xdr:rowOff>666750</xdr:rowOff>
    </xdr:to>
    <xdr:pic>
      <xdr:nvPicPr>
        <xdr:cNvPr id="866" name="959710-60-61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269</xdr:row>
      <xdr:rowOff>190500</xdr:rowOff>
    </xdr:from>
    <xdr:to>
      <xdr:col>3</xdr:col>
      <xdr:colOff>666750</xdr:colOff>
      <xdr:row>269</xdr:row>
      <xdr:rowOff>666750</xdr:rowOff>
    </xdr:to>
    <xdr:pic>
      <xdr:nvPicPr>
        <xdr:cNvPr id="867" name="959770-60-52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270</xdr:row>
      <xdr:rowOff>190500</xdr:rowOff>
    </xdr:from>
    <xdr:to>
      <xdr:col>3</xdr:col>
      <xdr:colOff>666750</xdr:colOff>
      <xdr:row>270</xdr:row>
      <xdr:rowOff>666750</xdr:rowOff>
    </xdr:to>
    <xdr:pic>
      <xdr:nvPicPr>
        <xdr:cNvPr id="868" name="959790-60-5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271</xdr:row>
      <xdr:rowOff>190500</xdr:rowOff>
    </xdr:from>
    <xdr:to>
      <xdr:col>3</xdr:col>
      <xdr:colOff>666750</xdr:colOff>
      <xdr:row>271</xdr:row>
      <xdr:rowOff>666750</xdr:rowOff>
    </xdr:to>
    <xdr:pic>
      <xdr:nvPicPr>
        <xdr:cNvPr id="869" name="959810-60-12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272</xdr:row>
      <xdr:rowOff>190500</xdr:rowOff>
    </xdr:from>
    <xdr:to>
      <xdr:col>3</xdr:col>
      <xdr:colOff>666750</xdr:colOff>
      <xdr:row>272</xdr:row>
      <xdr:rowOff>666750</xdr:rowOff>
    </xdr:to>
    <xdr:pic>
      <xdr:nvPicPr>
        <xdr:cNvPr id="870" name="959850-60-5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273</xdr:row>
      <xdr:rowOff>190500</xdr:rowOff>
    </xdr:from>
    <xdr:to>
      <xdr:col>3</xdr:col>
      <xdr:colOff>666750</xdr:colOff>
      <xdr:row>273</xdr:row>
      <xdr:rowOff>666750</xdr:rowOff>
    </xdr:to>
    <xdr:pic>
      <xdr:nvPicPr>
        <xdr:cNvPr id="871" name="959850-60-6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274</xdr:row>
      <xdr:rowOff>190500</xdr:rowOff>
    </xdr:from>
    <xdr:to>
      <xdr:col>3</xdr:col>
      <xdr:colOff>666750</xdr:colOff>
      <xdr:row>274</xdr:row>
      <xdr:rowOff>666750</xdr:rowOff>
    </xdr:to>
    <xdr:pic>
      <xdr:nvPicPr>
        <xdr:cNvPr id="872" name="959870-60-5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275</xdr:row>
      <xdr:rowOff>190500</xdr:rowOff>
    </xdr:from>
    <xdr:to>
      <xdr:col>3</xdr:col>
      <xdr:colOff>666750</xdr:colOff>
      <xdr:row>275</xdr:row>
      <xdr:rowOff>666750</xdr:rowOff>
    </xdr:to>
    <xdr:pic>
      <xdr:nvPicPr>
        <xdr:cNvPr id="873" name="959870-60-6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276</xdr:row>
      <xdr:rowOff>190500</xdr:rowOff>
    </xdr:from>
    <xdr:to>
      <xdr:col>3</xdr:col>
      <xdr:colOff>666750</xdr:colOff>
      <xdr:row>276</xdr:row>
      <xdr:rowOff>666750</xdr:rowOff>
    </xdr:to>
    <xdr:pic>
      <xdr:nvPicPr>
        <xdr:cNvPr id="874" name="959890-60-12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277</xdr:row>
      <xdr:rowOff>190500</xdr:rowOff>
    </xdr:from>
    <xdr:to>
      <xdr:col>3</xdr:col>
      <xdr:colOff>1123950</xdr:colOff>
      <xdr:row>277</xdr:row>
      <xdr:rowOff>666750</xdr:rowOff>
    </xdr:to>
    <xdr:pic>
      <xdr:nvPicPr>
        <xdr:cNvPr id="881" name="628831-40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278</xdr:row>
      <xdr:rowOff>190500</xdr:rowOff>
    </xdr:from>
    <xdr:to>
      <xdr:col>3</xdr:col>
      <xdr:colOff>666750</xdr:colOff>
      <xdr:row>278</xdr:row>
      <xdr:rowOff>666750</xdr:rowOff>
    </xdr:to>
    <xdr:pic>
      <xdr:nvPicPr>
        <xdr:cNvPr id="891" name="958200-60-55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279</xdr:row>
      <xdr:rowOff>190500</xdr:rowOff>
    </xdr:from>
    <xdr:to>
      <xdr:col>3</xdr:col>
      <xdr:colOff>666750</xdr:colOff>
      <xdr:row>279</xdr:row>
      <xdr:rowOff>666750</xdr:rowOff>
    </xdr:to>
    <xdr:pic>
      <xdr:nvPicPr>
        <xdr:cNvPr id="895" name="729280-60-32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280</xdr:row>
      <xdr:rowOff>190500</xdr:rowOff>
    </xdr:from>
    <xdr:to>
      <xdr:col>3</xdr:col>
      <xdr:colOff>666750</xdr:colOff>
      <xdr:row>280</xdr:row>
      <xdr:rowOff>666750</xdr:rowOff>
    </xdr:to>
    <xdr:pic>
      <xdr:nvPicPr>
        <xdr:cNvPr id="896" name="951041-70-10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281</xdr:row>
      <xdr:rowOff>190500</xdr:rowOff>
    </xdr:from>
    <xdr:to>
      <xdr:col>3</xdr:col>
      <xdr:colOff>981075</xdr:colOff>
      <xdr:row>281</xdr:row>
      <xdr:rowOff>666750</xdr:rowOff>
    </xdr:to>
    <xdr:pic>
      <xdr:nvPicPr>
        <xdr:cNvPr id="901" name="944770-31-81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282</xdr:row>
      <xdr:rowOff>190500</xdr:rowOff>
    </xdr:from>
    <xdr:to>
      <xdr:col>3</xdr:col>
      <xdr:colOff>981075</xdr:colOff>
      <xdr:row>282</xdr:row>
      <xdr:rowOff>666750</xdr:rowOff>
    </xdr:to>
    <xdr:pic>
      <xdr:nvPicPr>
        <xdr:cNvPr id="902" name="957510-31-34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283</xdr:row>
      <xdr:rowOff>190500</xdr:rowOff>
    </xdr:from>
    <xdr:to>
      <xdr:col>3</xdr:col>
      <xdr:colOff>981075</xdr:colOff>
      <xdr:row>283</xdr:row>
      <xdr:rowOff>666750</xdr:rowOff>
    </xdr:to>
    <xdr:pic>
      <xdr:nvPicPr>
        <xdr:cNvPr id="908" name="852450-31-135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284</xdr:row>
      <xdr:rowOff>190500</xdr:rowOff>
    </xdr:from>
    <xdr:to>
      <xdr:col>3</xdr:col>
      <xdr:colOff>981075</xdr:colOff>
      <xdr:row>284</xdr:row>
      <xdr:rowOff>666750</xdr:rowOff>
    </xdr:to>
    <xdr:pic>
      <xdr:nvPicPr>
        <xdr:cNvPr id="909" name="957570-61-4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285</xdr:row>
      <xdr:rowOff>190500</xdr:rowOff>
    </xdr:from>
    <xdr:to>
      <xdr:col>3</xdr:col>
      <xdr:colOff>981075</xdr:colOff>
      <xdr:row>285</xdr:row>
      <xdr:rowOff>666750</xdr:rowOff>
    </xdr:to>
    <xdr:pic>
      <xdr:nvPicPr>
        <xdr:cNvPr id="910" name="957570-61-52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286</xdr:row>
      <xdr:rowOff>190500</xdr:rowOff>
    </xdr:from>
    <xdr:to>
      <xdr:col>3</xdr:col>
      <xdr:colOff>981075</xdr:colOff>
      <xdr:row>286</xdr:row>
      <xdr:rowOff>666750</xdr:rowOff>
    </xdr:to>
    <xdr:pic>
      <xdr:nvPicPr>
        <xdr:cNvPr id="911" name="957580-31-52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287</xdr:row>
      <xdr:rowOff>190500</xdr:rowOff>
    </xdr:from>
    <xdr:to>
      <xdr:col>3</xdr:col>
      <xdr:colOff>981075</xdr:colOff>
      <xdr:row>287</xdr:row>
      <xdr:rowOff>666750</xdr:rowOff>
    </xdr:to>
    <xdr:pic>
      <xdr:nvPicPr>
        <xdr:cNvPr id="912" name="957580-61-52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288</xdr:row>
      <xdr:rowOff>190500</xdr:rowOff>
    </xdr:from>
    <xdr:to>
      <xdr:col>3</xdr:col>
      <xdr:colOff>981075</xdr:colOff>
      <xdr:row>288</xdr:row>
      <xdr:rowOff>666750</xdr:rowOff>
    </xdr:to>
    <xdr:pic>
      <xdr:nvPicPr>
        <xdr:cNvPr id="913" name="957580-61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289</xdr:row>
      <xdr:rowOff>190500</xdr:rowOff>
    </xdr:from>
    <xdr:to>
      <xdr:col>3</xdr:col>
      <xdr:colOff>981075</xdr:colOff>
      <xdr:row>289</xdr:row>
      <xdr:rowOff>666750</xdr:rowOff>
    </xdr:to>
    <xdr:pic>
      <xdr:nvPicPr>
        <xdr:cNvPr id="914" name="957630-61-34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290</xdr:row>
      <xdr:rowOff>190500</xdr:rowOff>
    </xdr:from>
    <xdr:to>
      <xdr:col>3</xdr:col>
      <xdr:colOff>981075</xdr:colOff>
      <xdr:row>290</xdr:row>
      <xdr:rowOff>666750</xdr:rowOff>
    </xdr:to>
    <xdr:pic>
      <xdr:nvPicPr>
        <xdr:cNvPr id="916" name="957630-61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291</xdr:row>
      <xdr:rowOff>190500</xdr:rowOff>
    </xdr:from>
    <xdr:to>
      <xdr:col>3</xdr:col>
      <xdr:colOff>981075</xdr:colOff>
      <xdr:row>291</xdr:row>
      <xdr:rowOff>666750</xdr:rowOff>
    </xdr:to>
    <xdr:pic>
      <xdr:nvPicPr>
        <xdr:cNvPr id="917" name="957580-41-8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292</xdr:row>
      <xdr:rowOff>190500</xdr:rowOff>
    </xdr:from>
    <xdr:to>
      <xdr:col>3</xdr:col>
      <xdr:colOff>981075</xdr:colOff>
      <xdr:row>292</xdr:row>
      <xdr:rowOff>666750</xdr:rowOff>
    </xdr:to>
    <xdr:pic>
      <xdr:nvPicPr>
        <xdr:cNvPr id="919" name="957630-41-52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293</xdr:row>
      <xdr:rowOff>190500</xdr:rowOff>
    </xdr:from>
    <xdr:to>
      <xdr:col>3</xdr:col>
      <xdr:colOff>981075</xdr:colOff>
      <xdr:row>293</xdr:row>
      <xdr:rowOff>666750</xdr:rowOff>
    </xdr:to>
    <xdr:pic>
      <xdr:nvPicPr>
        <xdr:cNvPr id="920" name="957640-30-173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  <xdr:twoCellAnchor>
    <xdr:from>
      <xdr:col>3</xdr:col>
      <xdr:colOff>190500</xdr:colOff>
      <xdr:row>294</xdr:row>
      <xdr:rowOff>190500</xdr:rowOff>
    </xdr:from>
    <xdr:to>
      <xdr:col>3</xdr:col>
      <xdr:colOff>981075</xdr:colOff>
      <xdr:row>294</xdr:row>
      <xdr:rowOff>666750</xdr:rowOff>
    </xdr:to>
    <xdr:pic>
      <xdr:nvPicPr>
        <xdr:cNvPr id="921" name="849011-60-31_1_200">
          <a:extLst>
            <a:ext uri="{FF2B5EF4-FFF2-40B4-BE49-F238E27FC236}"/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effectLst>
          <a:outerShdw blurRad="57150" dist="19050" algn="br" rotWithShape="0">
            <a:srgbClr val="000000">
              <a:alpha val="50000"/>
            </a:srgbClr>
          </a:outerShdw>
        </a:effec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303"/>
  <sheetViews>
    <sheetView tabSelected="1" zoomScaleNormal="100" workbookViewId="0">
      <pane xSplit="5" ySplit="2" topLeftCell="F3" activePane="bottomRight" state="frozen"/>
      <selection pane="topRight"/>
      <selection pane="bottomLeft"/>
      <selection pane="bottomRight" activeCell="DE4" sqref="DE4"/>
    </sheetView>
  </sheetViews>
  <sheetFormatPr defaultColWidth="8.75" defaultRowHeight="14.25"/>
  <cols>
    <col min="2" max="2" width="15.25" customWidth="1"/>
    <col min="3" max="3" width="21.25" bestFit="1" customWidth="1"/>
    <col min="4" max="4" width="15" customWidth="1"/>
    <col min="5" max="5" width="23.375" bestFit="1" customWidth="1"/>
    <col min="6" max="6" width="29.75" bestFit="1" customWidth="1"/>
    <col min="7" max="7" width="14" bestFit="1" customWidth="1"/>
    <col min="8" max="8" width="21.25" bestFit="1" customWidth="1"/>
    <col min="9" max="9" width="23.25" bestFit="1" customWidth="1"/>
    <col min="10" max="10" width="28.75" bestFit="1" customWidth="1"/>
    <col min="11" max="11" width="23.375" bestFit="1" customWidth="1"/>
    <col min="12" max="12" width="18.75" customWidth="1"/>
    <col min="13" max="102" width="6" customWidth="1"/>
    <col min="103" max="103" width="16" hidden="1" customWidth="1"/>
    <col min="104" max="104" width="16" bestFit="1" customWidth="1"/>
    <col min="105" max="105" width="8.75" style="7"/>
    <col min="106" max="106" width="9.25" style="7" customWidth="1"/>
  </cols>
  <sheetData>
    <row r="1" spans="1:106" ht="15">
      <c r="A1" s="12"/>
      <c r="B1" s="12"/>
      <c r="C1" s="12"/>
      <c r="D1" s="12"/>
      <c r="E1" s="12"/>
      <c r="F1" s="13"/>
      <c r="M1" s="13" t="s">
        <v>444</v>
      </c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</row>
    <row r="2" spans="1:106" ht="15">
      <c r="A2" s="11" t="s">
        <v>435</v>
      </c>
      <c r="B2" s="11" t="s">
        <v>436</v>
      </c>
      <c r="C2" s="11" t="s">
        <v>437</v>
      </c>
      <c r="D2" s="11" t="s">
        <v>0</v>
      </c>
      <c r="E2" s="11" t="s">
        <v>445</v>
      </c>
      <c r="F2" s="11" t="s">
        <v>438</v>
      </c>
      <c r="G2" s="11" t="s">
        <v>439</v>
      </c>
      <c r="H2" s="11" t="s">
        <v>440</v>
      </c>
      <c r="I2" s="11" t="s">
        <v>441</v>
      </c>
      <c r="J2" s="11" t="s">
        <v>442</v>
      </c>
      <c r="K2" s="11" t="s">
        <v>443</v>
      </c>
      <c r="L2" s="11" t="s">
        <v>369</v>
      </c>
      <c r="M2" s="11" t="s">
        <v>370</v>
      </c>
      <c r="N2" s="11" t="s">
        <v>371</v>
      </c>
      <c r="O2" s="11" t="s">
        <v>372</v>
      </c>
      <c r="P2" s="11" t="s">
        <v>373</v>
      </c>
      <c r="Q2" s="11" t="s">
        <v>374</v>
      </c>
      <c r="R2" s="11" t="s">
        <v>375</v>
      </c>
      <c r="S2" s="11" t="s">
        <v>376</v>
      </c>
      <c r="T2" s="11" t="s">
        <v>377</v>
      </c>
      <c r="U2" s="11" t="s">
        <v>378</v>
      </c>
      <c r="V2" s="11" t="s">
        <v>379</v>
      </c>
      <c r="W2" s="11" t="s">
        <v>380</v>
      </c>
      <c r="X2" s="11" t="s">
        <v>381</v>
      </c>
      <c r="Y2" s="11" t="s">
        <v>382</v>
      </c>
      <c r="Z2" s="11" t="s">
        <v>383</v>
      </c>
      <c r="AA2" s="11" t="s">
        <v>384</v>
      </c>
      <c r="AB2" s="11" t="s">
        <v>385</v>
      </c>
      <c r="AC2" s="11" t="s">
        <v>386</v>
      </c>
      <c r="AD2" s="11" t="s">
        <v>387</v>
      </c>
      <c r="AE2" s="11" t="s">
        <v>388</v>
      </c>
      <c r="AF2" s="11" t="s">
        <v>389</v>
      </c>
      <c r="AG2" s="11" t="s">
        <v>390</v>
      </c>
      <c r="AH2" s="11" t="s">
        <v>391</v>
      </c>
      <c r="AI2" s="11" t="s">
        <v>392</v>
      </c>
      <c r="AJ2" s="11" t="s">
        <v>393</v>
      </c>
      <c r="AK2" s="11" t="s">
        <v>394</v>
      </c>
      <c r="AL2" s="11" t="s">
        <v>395</v>
      </c>
      <c r="AM2" s="11" t="s">
        <v>396</v>
      </c>
      <c r="AN2" s="11" t="s">
        <v>397</v>
      </c>
      <c r="AO2" s="11">
        <v>10</v>
      </c>
      <c r="AP2" s="11">
        <v>11</v>
      </c>
      <c r="AQ2" s="11">
        <v>24</v>
      </c>
      <c r="AR2" s="11">
        <v>25</v>
      </c>
      <c r="AS2" s="11">
        <v>26</v>
      </c>
      <c r="AT2" s="11">
        <v>27</v>
      </c>
      <c r="AU2" s="11">
        <v>27.5</v>
      </c>
      <c r="AV2" s="11">
        <v>28</v>
      </c>
      <c r="AW2" s="11">
        <v>29</v>
      </c>
      <c r="AX2" s="11">
        <v>30</v>
      </c>
      <c r="AY2" s="11">
        <v>31</v>
      </c>
      <c r="AZ2" s="11">
        <v>32</v>
      </c>
      <c r="BA2" s="11">
        <v>33</v>
      </c>
      <c r="BB2" s="11">
        <v>34</v>
      </c>
      <c r="BC2" s="11">
        <v>35</v>
      </c>
      <c r="BD2" s="11">
        <v>36</v>
      </c>
      <c r="BE2" s="11">
        <v>37</v>
      </c>
      <c r="BF2" s="11">
        <v>38</v>
      </c>
      <c r="BG2" s="11">
        <v>38.5</v>
      </c>
      <c r="BH2" s="11">
        <v>39</v>
      </c>
      <c r="BI2" s="11">
        <v>40</v>
      </c>
      <c r="BJ2" s="11">
        <v>40.5</v>
      </c>
      <c r="BK2" s="11">
        <v>41</v>
      </c>
      <c r="BL2" s="11">
        <v>41.5</v>
      </c>
      <c r="BM2" s="11">
        <v>42</v>
      </c>
      <c r="BN2" s="11">
        <v>42.5</v>
      </c>
      <c r="BO2" s="11">
        <v>43</v>
      </c>
      <c r="BP2" s="11">
        <v>44</v>
      </c>
      <c r="BQ2" s="11">
        <v>44.5</v>
      </c>
      <c r="BR2" s="11">
        <v>45</v>
      </c>
      <c r="BS2" s="11">
        <v>45.5</v>
      </c>
      <c r="BT2" s="11">
        <v>46</v>
      </c>
      <c r="BU2" s="11">
        <v>46.5</v>
      </c>
      <c r="BV2" s="11">
        <v>47</v>
      </c>
      <c r="BW2" s="11">
        <v>47.5</v>
      </c>
      <c r="BX2" s="11" t="s">
        <v>398</v>
      </c>
      <c r="BY2" s="11" t="s">
        <v>399</v>
      </c>
      <c r="BZ2" s="11">
        <v>3</v>
      </c>
      <c r="CA2" s="11">
        <v>4</v>
      </c>
      <c r="CB2" s="11">
        <v>5</v>
      </c>
      <c r="CC2" s="11">
        <v>8</v>
      </c>
      <c r="CD2" s="11">
        <v>9</v>
      </c>
      <c r="CE2" s="11">
        <v>68</v>
      </c>
      <c r="CF2" s="11">
        <v>74</v>
      </c>
      <c r="CG2" s="11">
        <v>80</v>
      </c>
      <c r="CH2" s="11">
        <v>86</v>
      </c>
      <c r="CI2" s="11">
        <v>94</v>
      </c>
      <c r="CJ2" s="11">
        <v>102</v>
      </c>
      <c r="CK2" s="11">
        <v>108</v>
      </c>
      <c r="CL2" s="11">
        <v>114</v>
      </c>
      <c r="CM2" s="11">
        <v>120</v>
      </c>
      <c r="CN2" s="11">
        <v>126</v>
      </c>
      <c r="CO2" s="11">
        <v>134</v>
      </c>
      <c r="CP2" s="11">
        <v>138</v>
      </c>
      <c r="CQ2" s="11">
        <v>146</v>
      </c>
      <c r="CR2" s="11">
        <v>150</v>
      </c>
      <c r="CS2" s="11">
        <v>152</v>
      </c>
      <c r="CT2" s="11">
        <v>158</v>
      </c>
      <c r="CU2" s="11">
        <v>162</v>
      </c>
      <c r="CV2" s="11">
        <v>174</v>
      </c>
      <c r="CW2" s="11" t="s">
        <v>400</v>
      </c>
      <c r="CX2" s="11" t="s">
        <v>401</v>
      </c>
      <c r="CY2" s="6" t="s">
        <v>432</v>
      </c>
      <c r="CZ2" s="6" t="s">
        <v>432</v>
      </c>
      <c r="DA2" s="8" t="s">
        <v>433</v>
      </c>
      <c r="DB2" s="8" t="s">
        <v>434</v>
      </c>
    </row>
    <row r="3" spans="1:106" ht="60" customHeight="1">
      <c r="A3" s="2" t="s">
        <v>1</v>
      </c>
      <c r="B3" s="2" t="s">
        <v>6</v>
      </c>
      <c r="C3" s="2" t="s">
        <v>7</v>
      </c>
      <c r="D3" s="2"/>
      <c r="E3" s="2" t="s">
        <v>27</v>
      </c>
      <c r="F3" s="2" t="s">
        <v>28</v>
      </c>
      <c r="G3" s="2">
        <v>82</v>
      </c>
      <c r="H3" s="2" t="s">
        <v>7</v>
      </c>
      <c r="I3" s="2" t="s">
        <v>26</v>
      </c>
      <c r="J3" s="2" t="s">
        <v>409</v>
      </c>
      <c r="K3" s="2">
        <v>1724079</v>
      </c>
      <c r="L3" s="3">
        <v>38</v>
      </c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5"/>
      <c r="CO3" s="4"/>
      <c r="CP3" s="5">
        <f>MAX(ROUND(38*(CY3/L3), 0),1)</f>
        <v>38</v>
      </c>
      <c r="CQ3" s="4"/>
      <c r="CR3" s="5"/>
      <c r="CS3" s="4"/>
      <c r="CT3" s="4"/>
      <c r="CU3" s="5"/>
      <c r="CV3" s="4"/>
      <c r="CW3" s="4"/>
      <c r="CX3" s="4"/>
      <c r="CY3" s="2">
        <v>38</v>
      </c>
      <c r="CZ3" s="2">
        <f t="shared" ref="CZ3:CZ13" si="0">SUM(M3:CX3)</f>
        <v>38</v>
      </c>
      <c r="DA3" s="9">
        <v>12.5</v>
      </c>
      <c r="DB3" s="9">
        <v>25</v>
      </c>
    </row>
    <row r="4" spans="1:106" ht="60" customHeight="1">
      <c r="A4" s="2" t="s">
        <v>1</v>
      </c>
      <c r="B4" s="2" t="s">
        <v>2</v>
      </c>
      <c r="C4" s="2" t="s">
        <v>7</v>
      </c>
      <c r="D4" s="2"/>
      <c r="E4" s="2" t="s">
        <v>29</v>
      </c>
      <c r="F4" s="2" t="s">
        <v>31</v>
      </c>
      <c r="G4" s="2">
        <v>81</v>
      </c>
      <c r="H4" s="2" t="s">
        <v>7</v>
      </c>
      <c r="I4" s="2" t="s">
        <v>26</v>
      </c>
      <c r="J4" s="2" t="s">
        <v>410</v>
      </c>
      <c r="K4" s="2">
        <v>1724085</v>
      </c>
      <c r="L4" s="3">
        <v>14</v>
      </c>
      <c r="M4" s="4"/>
      <c r="N4" s="4"/>
      <c r="O4" s="4"/>
      <c r="P4" s="4"/>
      <c r="Q4" s="4"/>
      <c r="R4" s="4"/>
      <c r="S4" s="5">
        <f>MAX(ROUND(14*(CY4/L4), 0),1)</f>
        <v>14</v>
      </c>
      <c r="T4" s="5"/>
      <c r="U4" s="5"/>
      <c r="V4" s="5"/>
      <c r="W4" s="5"/>
      <c r="X4" s="4"/>
      <c r="Y4" s="5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2">
        <v>14</v>
      </c>
      <c r="CZ4" s="2">
        <f t="shared" si="0"/>
        <v>14</v>
      </c>
      <c r="DA4" s="9">
        <v>15</v>
      </c>
      <c r="DB4" s="9">
        <v>30</v>
      </c>
    </row>
    <row r="5" spans="1:106" ht="60" customHeight="1">
      <c r="A5" s="2" t="s">
        <v>1</v>
      </c>
      <c r="B5" s="2" t="s">
        <v>18</v>
      </c>
      <c r="C5" s="2" t="s">
        <v>7</v>
      </c>
      <c r="D5" s="2"/>
      <c r="E5" s="2" t="s">
        <v>32</v>
      </c>
      <c r="F5" s="2" t="s">
        <v>33</v>
      </c>
      <c r="G5" s="2">
        <v>8</v>
      </c>
      <c r="H5" s="2" t="s">
        <v>7</v>
      </c>
      <c r="I5" s="2" t="s">
        <v>21</v>
      </c>
      <c r="J5" s="2" t="s">
        <v>407</v>
      </c>
      <c r="K5" s="2">
        <v>1724116</v>
      </c>
      <c r="L5" s="3">
        <v>34</v>
      </c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5">
        <f>MAX(ROUND(34*(CY5/L5), 0),1)</f>
        <v>34</v>
      </c>
      <c r="CX5" s="4"/>
      <c r="CY5" s="2">
        <v>34</v>
      </c>
      <c r="CZ5" s="2">
        <f t="shared" si="0"/>
        <v>34</v>
      </c>
      <c r="DA5" s="9">
        <v>13.5</v>
      </c>
      <c r="DB5" s="9">
        <v>27</v>
      </c>
    </row>
    <row r="6" spans="1:106" ht="60" customHeight="1">
      <c r="A6" s="2" t="s">
        <v>1</v>
      </c>
      <c r="B6" s="2" t="s">
        <v>2</v>
      </c>
      <c r="C6" s="2" t="s">
        <v>3</v>
      </c>
      <c r="D6" s="2"/>
      <c r="E6" s="2" t="s">
        <v>34</v>
      </c>
      <c r="F6" s="2" t="s">
        <v>35</v>
      </c>
      <c r="G6" s="2">
        <v>3</v>
      </c>
      <c r="H6" s="2" t="s">
        <v>4</v>
      </c>
      <c r="I6" s="2" t="s">
        <v>36</v>
      </c>
      <c r="J6" s="2" t="s">
        <v>405</v>
      </c>
      <c r="K6" s="2">
        <v>1724164</v>
      </c>
      <c r="L6" s="3">
        <v>848</v>
      </c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5"/>
      <c r="BG6" s="4"/>
      <c r="BH6" s="4"/>
      <c r="BI6" s="4"/>
      <c r="BJ6" s="4"/>
      <c r="BK6" s="5">
        <f>MAX(ROUND(18*(CY6/L6), 0),1)</f>
        <v>18</v>
      </c>
      <c r="BL6" s="4"/>
      <c r="BM6" s="4"/>
      <c r="BN6" s="4"/>
      <c r="BO6" s="4"/>
      <c r="BP6" s="5">
        <f>MAX(ROUND(830*(CY6/L6), 0),1)</f>
        <v>830</v>
      </c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2">
        <v>848</v>
      </c>
      <c r="CZ6" s="2">
        <f t="shared" si="0"/>
        <v>848</v>
      </c>
      <c r="DA6" s="9">
        <v>5</v>
      </c>
      <c r="DB6" s="9">
        <v>7.99</v>
      </c>
    </row>
    <row r="7" spans="1:106" ht="60" customHeight="1">
      <c r="A7" s="2" t="s">
        <v>1</v>
      </c>
      <c r="B7" s="2" t="s">
        <v>2</v>
      </c>
      <c r="C7" s="2" t="s">
        <v>3</v>
      </c>
      <c r="D7" s="2"/>
      <c r="E7" s="2" t="s">
        <v>37</v>
      </c>
      <c r="F7" s="2" t="s">
        <v>38</v>
      </c>
      <c r="G7" s="2">
        <v>33</v>
      </c>
      <c r="H7" s="2" t="s">
        <v>4</v>
      </c>
      <c r="I7" s="2" t="s">
        <v>36</v>
      </c>
      <c r="J7" s="2" t="s">
        <v>405</v>
      </c>
      <c r="K7" s="2">
        <v>1724165</v>
      </c>
      <c r="L7" s="3">
        <v>908</v>
      </c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5">
        <f>MAX(ROUND(908*(CY7/L7), 0),1)</f>
        <v>908</v>
      </c>
      <c r="BG7" s="4"/>
      <c r="BH7" s="4"/>
      <c r="BI7" s="4"/>
      <c r="BJ7" s="4"/>
      <c r="BK7" s="5"/>
      <c r="BL7" s="4"/>
      <c r="BM7" s="4"/>
      <c r="BN7" s="4"/>
      <c r="BO7" s="4"/>
      <c r="BP7" s="5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2">
        <v>908</v>
      </c>
      <c r="CZ7" s="2">
        <f t="shared" si="0"/>
        <v>908</v>
      </c>
      <c r="DA7" s="9">
        <v>7.31</v>
      </c>
      <c r="DB7" s="9">
        <v>14.99</v>
      </c>
    </row>
    <row r="8" spans="1:106" ht="60" customHeight="1">
      <c r="A8" s="2" t="s">
        <v>1</v>
      </c>
      <c r="B8" s="2" t="s">
        <v>2</v>
      </c>
      <c r="C8" s="2" t="s">
        <v>7</v>
      </c>
      <c r="D8" s="2"/>
      <c r="E8" s="2" t="s">
        <v>39</v>
      </c>
      <c r="F8" s="2" t="s">
        <v>40</v>
      </c>
      <c r="G8" s="2">
        <v>10</v>
      </c>
      <c r="H8" s="2" t="s">
        <v>7</v>
      </c>
      <c r="I8" s="2" t="s">
        <v>14</v>
      </c>
      <c r="J8" s="2" t="s">
        <v>412</v>
      </c>
      <c r="K8" s="2">
        <v>1724287</v>
      </c>
      <c r="L8" s="3">
        <v>257</v>
      </c>
      <c r="M8" s="4"/>
      <c r="N8" s="4"/>
      <c r="O8" s="4"/>
      <c r="P8" s="4"/>
      <c r="Q8" s="4"/>
      <c r="R8" s="4"/>
      <c r="S8" s="5">
        <f>MAX(ROUND(54*(CY8/L8), 0),1)</f>
        <v>54</v>
      </c>
      <c r="T8" s="5">
        <f>MAX(ROUND(12*(CY8/L8), 0),1)</f>
        <v>12</v>
      </c>
      <c r="U8" s="5">
        <f>MAX(ROUND(120*(CY8/L8), 0),1)</f>
        <v>120</v>
      </c>
      <c r="V8" s="5">
        <f>MAX(ROUND(65*(CY8/L8), 0),1)</f>
        <v>65</v>
      </c>
      <c r="W8" s="5">
        <f>MAX(ROUND(6*(CY8/L8), 0),1)</f>
        <v>6</v>
      </c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2">
        <v>257</v>
      </c>
      <c r="CZ8" s="2">
        <f t="shared" si="0"/>
        <v>257</v>
      </c>
      <c r="DA8" s="9">
        <v>11</v>
      </c>
      <c r="DB8" s="9">
        <v>22</v>
      </c>
    </row>
    <row r="9" spans="1:106" ht="60" customHeight="1">
      <c r="A9" s="2" t="s">
        <v>1</v>
      </c>
      <c r="B9" s="2" t="s">
        <v>2</v>
      </c>
      <c r="C9" s="2" t="s">
        <v>7</v>
      </c>
      <c r="D9" s="2"/>
      <c r="E9" s="2" t="s">
        <v>39</v>
      </c>
      <c r="F9" s="2" t="s">
        <v>41</v>
      </c>
      <c r="G9" s="2">
        <v>3</v>
      </c>
      <c r="H9" s="2" t="s">
        <v>7</v>
      </c>
      <c r="I9" s="2" t="s">
        <v>14</v>
      </c>
      <c r="J9" s="2" t="s">
        <v>412</v>
      </c>
      <c r="K9" s="2">
        <v>1724289</v>
      </c>
      <c r="L9" s="3">
        <v>482</v>
      </c>
      <c r="M9" s="4"/>
      <c r="N9" s="4"/>
      <c r="O9" s="4"/>
      <c r="P9" s="4"/>
      <c r="Q9" s="4"/>
      <c r="R9" s="4"/>
      <c r="S9" s="5">
        <f>MAX(ROUND(172*(CY9/L9), 0),1)</f>
        <v>172</v>
      </c>
      <c r="T9" s="5">
        <f>MAX(ROUND(99*(CY9/L9), 0),1)</f>
        <v>99</v>
      </c>
      <c r="U9" s="5">
        <f>MAX(ROUND(156*(CY9/L9), 0),1)</f>
        <v>156</v>
      </c>
      <c r="V9" s="5">
        <f>MAX(ROUND(47*(CY9/L9), 0),1)</f>
        <v>47</v>
      </c>
      <c r="W9" s="5">
        <f>MAX(ROUND(8*(CY9/L9), 0),1)</f>
        <v>8</v>
      </c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2">
        <v>482</v>
      </c>
      <c r="CZ9" s="2">
        <f t="shared" si="0"/>
        <v>482</v>
      </c>
      <c r="DA9" s="9">
        <v>11</v>
      </c>
      <c r="DB9" s="9">
        <v>22</v>
      </c>
    </row>
    <row r="10" spans="1:106" ht="60" customHeight="1">
      <c r="A10" s="2" t="s">
        <v>1</v>
      </c>
      <c r="B10" s="2" t="s">
        <v>2</v>
      </c>
      <c r="C10" s="2" t="s">
        <v>7</v>
      </c>
      <c r="D10" s="2"/>
      <c r="E10" s="2" t="s">
        <v>39</v>
      </c>
      <c r="F10" s="2" t="s">
        <v>42</v>
      </c>
      <c r="G10" s="2">
        <v>4</v>
      </c>
      <c r="H10" s="2" t="s">
        <v>7</v>
      </c>
      <c r="I10" s="2" t="s">
        <v>14</v>
      </c>
      <c r="J10" s="2" t="s">
        <v>412</v>
      </c>
      <c r="K10" s="2">
        <v>1724290</v>
      </c>
      <c r="L10" s="3">
        <v>246</v>
      </c>
      <c r="M10" s="4"/>
      <c r="N10" s="4"/>
      <c r="O10" s="4"/>
      <c r="P10" s="4"/>
      <c r="Q10" s="4"/>
      <c r="R10" s="4"/>
      <c r="S10" s="5">
        <f>MAX(ROUND(65*(CY10/L10), 0),1)</f>
        <v>65</v>
      </c>
      <c r="T10" s="5">
        <f>MAX(ROUND(90*(CY10/L10), 0),1)</f>
        <v>90</v>
      </c>
      <c r="U10" s="5">
        <f>MAX(ROUND(16*(CY10/L10), 0),1)</f>
        <v>16</v>
      </c>
      <c r="V10" s="5">
        <f>MAX(ROUND(54*(CY10/L10), 0),1)</f>
        <v>54</v>
      </c>
      <c r="W10" s="5">
        <f>MAX(ROUND(21*(CY10/L10), 0),1)</f>
        <v>21</v>
      </c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2">
        <v>246</v>
      </c>
      <c r="CZ10" s="2">
        <f t="shared" si="0"/>
        <v>246</v>
      </c>
      <c r="DA10" s="9">
        <v>11</v>
      </c>
      <c r="DB10" s="9">
        <v>22</v>
      </c>
    </row>
    <row r="11" spans="1:106" ht="60" customHeight="1">
      <c r="A11" s="2" t="s">
        <v>1</v>
      </c>
      <c r="B11" s="2" t="s">
        <v>2</v>
      </c>
      <c r="C11" s="2" t="s">
        <v>7</v>
      </c>
      <c r="D11" s="2"/>
      <c r="E11" s="2" t="s">
        <v>39</v>
      </c>
      <c r="F11" s="2" t="s">
        <v>43</v>
      </c>
      <c r="G11" s="2">
        <v>5</v>
      </c>
      <c r="H11" s="2" t="s">
        <v>7</v>
      </c>
      <c r="I11" s="2" t="s">
        <v>14</v>
      </c>
      <c r="J11" s="2" t="s">
        <v>412</v>
      </c>
      <c r="K11" s="2">
        <v>1724291</v>
      </c>
      <c r="L11" s="3">
        <v>119</v>
      </c>
      <c r="M11" s="4"/>
      <c r="N11" s="4"/>
      <c r="O11" s="4"/>
      <c r="P11" s="4"/>
      <c r="Q11" s="4"/>
      <c r="R11" s="4"/>
      <c r="S11" s="5"/>
      <c r="T11" s="5">
        <f>MAX(ROUND(38*(CY11/L11), 0),1)</f>
        <v>38</v>
      </c>
      <c r="U11" s="5">
        <f>MAX(ROUND(14*(CY11/L11), 0),1)</f>
        <v>14</v>
      </c>
      <c r="V11" s="5">
        <f>MAX(ROUND(41*(CY11/L11), 0),1)</f>
        <v>41</v>
      </c>
      <c r="W11" s="5">
        <f>MAX(ROUND(26*(CY11/L11), 0),1)</f>
        <v>26</v>
      </c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2">
        <v>119</v>
      </c>
      <c r="CZ11" s="2">
        <f t="shared" si="0"/>
        <v>119</v>
      </c>
      <c r="DA11" s="9">
        <v>11</v>
      </c>
      <c r="DB11" s="9">
        <v>22</v>
      </c>
    </row>
    <row r="12" spans="1:106" ht="60" customHeight="1">
      <c r="A12" s="2" t="s">
        <v>1</v>
      </c>
      <c r="B12" s="2" t="s">
        <v>2</v>
      </c>
      <c r="C12" s="2" t="s">
        <v>7</v>
      </c>
      <c r="D12" s="2"/>
      <c r="E12" s="2" t="s">
        <v>39</v>
      </c>
      <c r="F12" s="2" t="s">
        <v>44</v>
      </c>
      <c r="G12" s="2">
        <v>6</v>
      </c>
      <c r="H12" s="2" t="s">
        <v>7</v>
      </c>
      <c r="I12" s="2" t="s">
        <v>14</v>
      </c>
      <c r="J12" s="2" t="s">
        <v>412</v>
      </c>
      <c r="K12" s="2">
        <v>1724292</v>
      </c>
      <c r="L12" s="3">
        <v>272</v>
      </c>
      <c r="M12" s="4"/>
      <c r="N12" s="4"/>
      <c r="O12" s="4"/>
      <c r="P12" s="4"/>
      <c r="Q12" s="4"/>
      <c r="R12" s="4"/>
      <c r="S12" s="5">
        <f>MAX(ROUND(50*(CY12/L12), 0),1)</f>
        <v>50</v>
      </c>
      <c r="T12" s="5">
        <f>MAX(ROUND(93*(CY12/L12), 0),1)</f>
        <v>93</v>
      </c>
      <c r="U12" s="5">
        <f>MAX(ROUND(80*(CY12/L12), 0),1)</f>
        <v>80</v>
      </c>
      <c r="V12" s="5">
        <f>MAX(ROUND(26*(CY12/L12), 0),1)</f>
        <v>26</v>
      </c>
      <c r="W12" s="5">
        <f>MAX(ROUND(23*(CY12/L12), 0),1)</f>
        <v>23</v>
      </c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2">
        <v>272</v>
      </c>
      <c r="CZ12" s="2">
        <f t="shared" si="0"/>
        <v>272</v>
      </c>
      <c r="DA12" s="9">
        <v>11</v>
      </c>
      <c r="DB12" s="9">
        <v>22</v>
      </c>
    </row>
    <row r="13" spans="1:106" ht="60" customHeight="1">
      <c r="A13" s="2" t="s">
        <v>1</v>
      </c>
      <c r="B13" s="2" t="s">
        <v>2</v>
      </c>
      <c r="C13" s="2" t="s">
        <v>7</v>
      </c>
      <c r="D13" s="2"/>
      <c r="E13" s="2" t="s">
        <v>39</v>
      </c>
      <c r="F13" s="2" t="s">
        <v>25</v>
      </c>
      <c r="G13" s="2">
        <v>71</v>
      </c>
      <c r="H13" s="2" t="s">
        <v>7</v>
      </c>
      <c r="I13" s="2" t="s">
        <v>14</v>
      </c>
      <c r="J13" s="2" t="s">
        <v>412</v>
      </c>
      <c r="K13" s="2">
        <v>1724293</v>
      </c>
      <c r="L13" s="3">
        <v>186</v>
      </c>
      <c r="M13" s="4"/>
      <c r="N13" s="4"/>
      <c r="O13" s="4"/>
      <c r="P13" s="4"/>
      <c r="Q13" s="4"/>
      <c r="R13" s="4"/>
      <c r="S13" s="5">
        <f>MAX(ROUND(77*(CY13/L13), 0),1)</f>
        <v>77</v>
      </c>
      <c r="T13" s="5">
        <f>MAX(ROUND(39*(CY13/L13), 0),1)</f>
        <v>39</v>
      </c>
      <c r="U13" s="5">
        <f>MAX(ROUND(44*(CY13/L13), 0),1)</f>
        <v>44</v>
      </c>
      <c r="V13" s="5"/>
      <c r="W13" s="5">
        <f>MAX(ROUND(26*(CY13/L13), 0),1)</f>
        <v>26</v>
      </c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2">
        <v>186</v>
      </c>
      <c r="CZ13" s="2">
        <f t="shared" si="0"/>
        <v>186</v>
      </c>
      <c r="DA13" s="9">
        <v>11</v>
      </c>
      <c r="DB13" s="9">
        <v>22</v>
      </c>
    </row>
    <row r="14" spans="1:106" ht="60" customHeight="1">
      <c r="A14" s="2" t="s">
        <v>1</v>
      </c>
      <c r="B14" s="2" t="s">
        <v>2</v>
      </c>
      <c r="C14" s="2" t="s">
        <v>7</v>
      </c>
      <c r="D14" s="2"/>
      <c r="E14" s="2" t="s">
        <v>39</v>
      </c>
      <c r="F14" s="2" t="s">
        <v>45</v>
      </c>
      <c r="G14" s="2">
        <v>8</v>
      </c>
      <c r="H14" s="2" t="s">
        <v>7</v>
      </c>
      <c r="I14" s="2" t="s">
        <v>14</v>
      </c>
      <c r="J14" s="2" t="s">
        <v>412</v>
      </c>
      <c r="K14" s="2">
        <v>1724294</v>
      </c>
      <c r="L14" s="3">
        <v>253</v>
      </c>
      <c r="M14" s="4"/>
      <c r="N14" s="4"/>
      <c r="O14" s="4"/>
      <c r="P14" s="4"/>
      <c r="Q14" s="4"/>
      <c r="R14" s="4"/>
      <c r="S14" s="5">
        <f>MAX(ROUND(89*(CY14/L14), 0),1)</f>
        <v>89</v>
      </c>
      <c r="T14" s="5">
        <f>MAX(ROUND(81*(CY14/L14), 0),1)</f>
        <v>81</v>
      </c>
      <c r="U14" s="5">
        <f>MAX(ROUND(48*(CY14/L14), 0),1)</f>
        <v>48</v>
      </c>
      <c r="V14" s="5">
        <f>MAX(ROUND(20*(CY14/L14), 0),1)</f>
        <v>20</v>
      </c>
      <c r="W14" s="5">
        <f>MAX(ROUND(15*(CY14/L14), 0),1)</f>
        <v>15</v>
      </c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2">
        <v>253</v>
      </c>
      <c r="CZ14" s="2">
        <f t="shared" ref="CZ14:CZ30" si="1">SUM(M14:CX14)</f>
        <v>253</v>
      </c>
      <c r="DA14" s="9">
        <v>11</v>
      </c>
      <c r="DB14" s="9">
        <v>22</v>
      </c>
    </row>
    <row r="15" spans="1:106" ht="60" customHeight="1">
      <c r="A15" s="2" t="s">
        <v>1</v>
      </c>
      <c r="B15" s="2" t="s">
        <v>2</v>
      </c>
      <c r="C15" s="2" t="s">
        <v>3</v>
      </c>
      <c r="D15" s="2"/>
      <c r="E15" s="2" t="s">
        <v>46</v>
      </c>
      <c r="F15" s="2" t="s">
        <v>47</v>
      </c>
      <c r="G15" s="2">
        <v>51</v>
      </c>
      <c r="H15" s="2" t="s">
        <v>4</v>
      </c>
      <c r="I15" s="2" t="s">
        <v>48</v>
      </c>
      <c r="J15" s="2" t="s">
        <v>409</v>
      </c>
      <c r="K15" s="2">
        <v>1724544</v>
      </c>
      <c r="L15" s="3">
        <v>16</v>
      </c>
      <c r="M15" s="4"/>
      <c r="N15" s="4"/>
      <c r="O15" s="4"/>
      <c r="P15" s="4"/>
      <c r="Q15" s="4"/>
      <c r="R15" s="4"/>
      <c r="S15" s="5">
        <f>MAX(ROUND(11*(CY15/L15), 0),1)</f>
        <v>11</v>
      </c>
      <c r="T15" s="5"/>
      <c r="U15" s="5"/>
      <c r="V15" s="5"/>
      <c r="W15" s="5">
        <f>MAX(ROUND(5*(CY15/L15), 0),1)</f>
        <v>5</v>
      </c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2">
        <v>16</v>
      </c>
      <c r="CZ15" s="2">
        <f t="shared" si="1"/>
        <v>16</v>
      </c>
      <c r="DA15" s="9">
        <v>29.27</v>
      </c>
      <c r="DB15" s="9">
        <v>60</v>
      </c>
    </row>
    <row r="16" spans="1:106" ht="60" customHeight="1">
      <c r="A16" s="2" t="s">
        <v>1</v>
      </c>
      <c r="B16" s="2" t="s">
        <v>2</v>
      </c>
      <c r="C16" s="2" t="s">
        <v>7</v>
      </c>
      <c r="D16" s="2"/>
      <c r="E16" s="2" t="s">
        <v>39</v>
      </c>
      <c r="F16" s="2" t="s">
        <v>49</v>
      </c>
      <c r="G16" s="2">
        <v>22</v>
      </c>
      <c r="H16" s="2" t="s">
        <v>7</v>
      </c>
      <c r="I16" s="2" t="s">
        <v>14</v>
      </c>
      <c r="J16" s="2" t="s">
        <v>412</v>
      </c>
      <c r="K16" s="2">
        <v>1816401</v>
      </c>
      <c r="L16" s="3">
        <v>387</v>
      </c>
      <c r="M16" s="4"/>
      <c r="N16" s="4"/>
      <c r="O16" s="4"/>
      <c r="P16" s="4"/>
      <c r="Q16" s="4"/>
      <c r="R16" s="4"/>
      <c r="S16" s="5">
        <f>MAX(ROUND(119*(CY16/L16), 0),1)</f>
        <v>119</v>
      </c>
      <c r="T16" s="5">
        <f>MAX(ROUND(85*(CY16/L16), 0),1)</f>
        <v>85</v>
      </c>
      <c r="U16" s="5">
        <f>MAX(ROUND(98*(CY16/L16), 0),1)</f>
        <v>98</v>
      </c>
      <c r="V16" s="5">
        <f>MAX(ROUND(56*(CY16/L16), 0),1)</f>
        <v>56</v>
      </c>
      <c r="W16" s="5">
        <f>MAX(ROUND(29*(CY16/L16), 0),1)</f>
        <v>29</v>
      </c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2">
        <v>387</v>
      </c>
      <c r="CZ16" s="2">
        <f t="shared" si="1"/>
        <v>387</v>
      </c>
      <c r="DA16" s="9">
        <v>11</v>
      </c>
      <c r="DB16" s="9">
        <v>22</v>
      </c>
    </row>
    <row r="17" spans="1:106" ht="60" customHeight="1">
      <c r="A17" s="2" t="s">
        <v>1</v>
      </c>
      <c r="B17" s="2" t="s">
        <v>2</v>
      </c>
      <c r="C17" s="2" t="s">
        <v>7</v>
      </c>
      <c r="D17" s="2"/>
      <c r="E17" s="2" t="s">
        <v>51</v>
      </c>
      <c r="F17" s="2" t="s">
        <v>50</v>
      </c>
      <c r="G17" s="2">
        <v>51</v>
      </c>
      <c r="H17" s="2" t="s">
        <v>7</v>
      </c>
      <c r="I17" s="2" t="s">
        <v>20</v>
      </c>
      <c r="J17" s="2" t="s">
        <v>409</v>
      </c>
      <c r="K17" s="2">
        <v>1817696</v>
      </c>
      <c r="L17" s="3">
        <v>14</v>
      </c>
      <c r="M17" s="4"/>
      <c r="N17" s="4"/>
      <c r="O17" s="4"/>
      <c r="P17" s="4"/>
      <c r="Q17" s="4"/>
      <c r="R17" s="4"/>
      <c r="S17" s="5"/>
      <c r="T17" s="5"/>
      <c r="U17" s="5">
        <f>MAX(ROUND(14*(CY17/L17), 0),1)</f>
        <v>14</v>
      </c>
      <c r="V17" s="5"/>
      <c r="W17" s="5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2">
        <v>14</v>
      </c>
      <c r="CZ17" s="2">
        <f t="shared" si="1"/>
        <v>14</v>
      </c>
      <c r="DA17" s="9">
        <v>15</v>
      </c>
      <c r="DB17" s="9">
        <v>30</v>
      </c>
    </row>
    <row r="18" spans="1:106" ht="60" customHeight="1">
      <c r="A18" s="2" t="s">
        <v>1</v>
      </c>
      <c r="B18" s="2" t="s">
        <v>6</v>
      </c>
      <c r="C18" s="2" t="s">
        <v>7</v>
      </c>
      <c r="D18" s="2"/>
      <c r="E18" s="2" t="s">
        <v>52</v>
      </c>
      <c r="F18" s="2" t="s">
        <v>40</v>
      </c>
      <c r="G18" s="2">
        <v>10</v>
      </c>
      <c r="H18" s="2" t="s">
        <v>7</v>
      </c>
      <c r="I18" s="2" t="s">
        <v>20</v>
      </c>
      <c r="J18" s="2" t="s">
        <v>410</v>
      </c>
      <c r="K18" s="2">
        <v>1817702</v>
      </c>
      <c r="L18" s="3">
        <v>628</v>
      </c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5">
        <f>MAX(ROUND(68*(CY18/L18), 0),1)</f>
        <v>68</v>
      </c>
      <c r="CM18" s="4"/>
      <c r="CN18" s="5">
        <f>MAX(ROUND(149*(CY18/L18), 0),1)</f>
        <v>149</v>
      </c>
      <c r="CO18" s="4"/>
      <c r="CP18" s="5">
        <f>MAX(ROUND(173*(CY18/L18), 0),1)</f>
        <v>173</v>
      </c>
      <c r="CQ18" s="4"/>
      <c r="CR18" s="5">
        <f>MAX(ROUND(165*(CY18/L18), 0),1)</f>
        <v>165</v>
      </c>
      <c r="CS18" s="4"/>
      <c r="CT18" s="4"/>
      <c r="CU18" s="5">
        <f>MAX(ROUND(73*(CY18/L18), 0),1)</f>
        <v>73</v>
      </c>
      <c r="CV18" s="4"/>
      <c r="CW18" s="4"/>
      <c r="CX18" s="4"/>
      <c r="CY18" s="2">
        <v>628</v>
      </c>
      <c r="CZ18" s="2">
        <f t="shared" si="1"/>
        <v>628</v>
      </c>
      <c r="DA18" s="9">
        <v>20</v>
      </c>
      <c r="DB18" s="9">
        <v>40</v>
      </c>
    </row>
    <row r="19" spans="1:106" ht="60" customHeight="1">
      <c r="A19" s="2" t="s">
        <v>1</v>
      </c>
      <c r="B19" s="2" t="s">
        <v>6</v>
      </c>
      <c r="C19" s="2" t="s">
        <v>7</v>
      </c>
      <c r="D19" s="2"/>
      <c r="E19" s="2" t="s">
        <v>52</v>
      </c>
      <c r="F19" s="2" t="s">
        <v>42</v>
      </c>
      <c r="G19" s="2">
        <v>41</v>
      </c>
      <c r="H19" s="2" t="s">
        <v>7</v>
      </c>
      <c r="I19" s="2" t="s">
        <v>20</v>
      </c>
      <c r="J19" s="2" t="s">
        <v>410</v>
      </c>
      <c r="K19" s="2">
        <v>1817703</v>
      </c>
      <c r="L19" s="3">
        <v>660</v>
      </c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5">
        <f>MAX(ROUND(51*(CY19/L19), 0),1)</f>
        <v>51</v>
      </c>
      <c r="CM19" s="4"/>
      <c r="CN19" s="5">
        <f>MAX(ROUND(120*(CY19/L19), 0),1)</f>
        <v>120</v>
      </c>
      <c r="CO19" s="4"/>
      <c r="CP19" s="5">
        <f>MAX(ROUND(180*(CY19/L19), 0),1)</f>
        <v>180</v>
      </c>
      <c r="CQ19" s="4"/>
      <c r="CR19" s="5">
        <f>MAX(ROUND(169*(CY19/L19), 0),1)</f>
        <v>169</v>
      </c>
      <c r="CS19" s="4"/>
      <c r="CT19" s="4"/>
      <c r="CU19" s="5">
        <f>MAX(ROUND(140*(CY19/L19), 0),1)</f>
        <v>140</v>
      </c>
      <c r="CV19" s="4"/>
      <c r="CW19" s="4"/>
      <c r="CX19" s="4"/>
      <c r="CY19" s="2">
        <v>660</v>
      </c>
      <c r="CZ19" s="2">
        <f t="shared" si="1"/>
        <v>660</v>
      </c>
      <c r="DA19" s="9">
        <v>20</v>
      </c>
      <c r="DB19" s="9">
        <v>40</v>
      </c>
    </row>
    <row r="20" spans="1:106" ht="60" customHeight="1">
      <c r="A20" s="2" t="s">
        <v>1</v>
      </c>
      <c r="B20" s="2" t="s">
        <v>6</v>
      </c>
      <c r="C20" s="2" t="s">
        <v>7</v>
      </c>
      <c r="D20" s="2"/>
      <c r="E20" s="2" t="s">
        <v>52</v>
      </c>
      <c r="F20" s="2" t="s">
        <v>50</v>
      </c>
      <c r="G20" s="2">
        <v>51</v>
      </c>
      <c r="H20" s="2" t="s">
        <v>7</v>
      </c>
      <c r="I20" s="2" t="s">
        <v>20</v>
      </c>
      <c r="J20" s="2" t="s">
        <v>410</v>
      </c>
      <c r="K20" s="2">
        <v>1817704</v>
      </c>
      <c r="L20" s="3">
        <v>672</v>
      </c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5">
        <f>MAX(ROUND(83*(CY20/L20), 0),1)</f>
        <v>83</v>
      </c>
      <c r="CM20" s="4"/>
      <c r="CN20" s="5">
        <f>MAX(ROUND(120*(CY20/L20), 0),1)</f>
        <v>120</v>
      </c>
      <c r="CO20" s="4"/>
      <c r="CP20" s="5">
        <f>MAX(ROUND(149*(CY20/L20), 0),1)</f>
        <v>149</v>
      </c>
      <c r="CQ20" s="4"/>
      <c r="CR20" s="5">
        <f>MAX(ROUND(183*(CY20/L20), 0),1)</f>
        <v>183</v>
      </c>
      <c r="CS20" s="4"/>
      <c r="CT20" s="4"/>
      <c r="CU20" s="5">
        <f>MAX(ROUND(137*(CY20/L20), 0),1)</f>
        <v>137</v>
      </c>
      <c r="CV20" s="4"/>
      <c r="CW20" s="4"/>
      <c r="CX20" s="4"/>
      <c r="CY20" s="2">
        <v>672</v>
      </c>
      <c r="CZ20" s="2">
        <f t="shared" si="1"/>
        <v>672</v>
      </c>
      <c r="DA20" s="9">
        <v>20</v>
      </c>
      <c r="DB20" s="9">
        <v>40</v>
      </c>
    </row>
    <row r="21" spans="1:106" ht="60" customHeight="1">
      <c r="A21" s="2" t="s">
        <v>1</v>
      </c>
      <c r="B21" s="2" t="s">
        <v>6</v>
      </c>
      <c r="C21" s="2" t="s">
        <v>7</v>
      </c>
      <c r="D21" s="2"/>
      <c r="E21" s="2" t="s">
        <v>52</v>
      </c>
      <c r="F21" s="2" t="s">
        <v>44</v>
      </c>
      <c r="G21" s="2">
        <v>6</v>
      </c>
      <c r="H21" s="2" t="s">
        <v>7</v>
      </c>
      <c r="I21" s="2" t="s">
        <v>20</v>
      </c>
      <c r="J21" s="2" t="s">
        <v>410</v>
      </c>
      <c r="K21" s="2">
        <v>1817705</v>
      </c>
      <c r="L21" s="3">
        <v>146</v>
      </c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5">
        <f>MAX(ROUND(29*(CY21/L21), 0),1)</f>
        <v>29</v>
      </c>
      <c r="CM21" s="4"/>
      <c r="CN21" s="5">
        <f>MAX(ROUND(18*(CY21/L21), 0),1)</f>
        <v>18</v>
      </c>
      <c r="CO21" s="4"/>
      <c r="CP21" s="5">
        <f>MAX(ROUND(17*(CY21/L21), 0),1)</f>
        <v>17</v>
      </c>
      <c r="CQ21" s="4"/>
      <c r="CR21" s="5">
        <f>MAX(ROUND(46*(CY21/L21), 0),1)</f>
        <v>46</v>
      </c>
      <c r="CS21" s="4"/>
      <c r="CT21" s="4"/>
      <c r="CU21" s="5">
        <f>MAX(ROUND(36*(CY21/L21), 0),1)</f>
        <v>36</v>
      </c>
      <c r="CV21" s="4"/>
      <c r="CW21" s="4"/>
      <c r="CX21" s="4"/>
      <c r="CY21" s="2">
        <v>146</v>
      </c>
      <c r="CZ21" s="2">
        <f t="shared" si="1"/>
        <v>146</v>
      </c>
      <c r="DA21" s="9">
        <v>20</v>
      </c>
      <c r="DB21" s="9">
        <v>40</v>
      </c>
    </row>
    <row r="22" spans="1:106" ht="60" customHeight="1">
      <c r="A22" s="2" t="s">
        <v>1</v>
      </c>
      <c r="B22" s="2" t="s">
        <v>6</v>
      </c>
      <c r="C22" s="2" t="s">
        <v>7</v>
      </c>
      <c r="D22" s="2"/>
      <c r="E22" s="2" t="s">
        <v>52</v>
      </c>
      <c r="F22" s="2" t="s">
        <v>45</v>
      </c>
      <c r="G22" s="2">
        <v>81</v>
      </c>
      <c r="H22" s="2" t="s">
        <v>7</v>
      </c>
      <c r="I22" s="2" t="s">
        <v>20</v>
      </c>
      <c r="J22" s="2" t="s">
        <v>410</v>
      </c>
      <c r="K22" s="2">
        <v>1817706</v>
      </c>
      <c r="L22" s="3">
        <v>606</v>
      </c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5">
        <f>MAX(ROUND(63*(CY22/L22), 0),1)</f>
        <v>63</v>
      </c>
      <c r="CM22" s="4"/>
      <c r="CN22" s="5">
        <f>MAX(ROUND(109*(CY22/L22), 0),1)</f>
        <v>109</v>
      </c>
      <c r="CO22" s="4"/>
      <c r="CP22" s="5">
        <f>MAX(ROUND(142*(CY22/L22), 0),1)</f>
        <v>142</v>
      </c>
      <c r="CQ22" s="4"/>
      <c r="CR22" s="5">
        <f>MAX(ROUND(170*(CY22/L22), 0),1)</f>
        <v>170</v>
      </c>
      <c r="CS22" s="4"/>
      <c r="CT22" s="4"/>
      <c r="CU22" s="5">
        <f>MAX(ROUND(122*(CY22/L22), 0),1)</f>
        <v>122</v>
      </c>
      <c r="CV22" s="4"/>
      <c r="CW22" s="4"/>
      <c r="CX22" s="4"/>
      <c r="CY22" s="2">
        <v>606</v>
      </c>
      <c r="CZ22" s="2">
        <f t="shared" si="1"/>
        <v>606</v>
      </c>
      <c r="DA22" s="9">
        <v>20</v>
      </c>
      <c r="DB22" s="9">
        <v>40</v>
      </c>
    </row>
    <row r="23" spans="1:106" ht="60" customHeight="1">
      <c r="A23" s="2" t="s">
        <v>1</v>
      </c>
      <c r="B23" s="2" t="s">
        <v>2</v>
      </c>
      <c r="C23" s="2" t="s">
        <v>7</v>
      </c>
      <c r="D23" s="2"/>
      <c r="E23" s="2" t="s">
        <v>53</v>
      </c>
      <c r="F23" s="2" t="s">
        <v>40</v>
      </c>
      <c r="G23" s="2">
        <v>10</v>
      </c>
      <c r="H23" s="2" t="s">
        <v>7</v>
      </c>
      <c r="I23" s="2" t="s">
        <v>20</v>
      </c>
      <c r="J23" s="2" t="s">
        <v>410</v>
      </c>
      <c r="K23" s="2">
        <v>1817707</v>
      </c>
      <c r="L23" s="3">
        <v>152</v>
      </c>
      <c r="M23" s="4"/>
      <c r="N23" s="4"/>
      <c r="O23" s="4"/>
      <c r="P23" s="4"/>
      <c r="Q23" s="4"/>
      <c r="R23" s="4"/>
      <c r="S23" s="5">
        <f>MAX(ROUND(99*(CY23/L23), 0),1)</f>
        <v>99</v>
      </c>
      <c r="T23" s="5">
        <f>MAX(ROUND(44*(CY23/L23), 0),1)</f>
        <v>44</v>
      </c>
      <c r="U23" s="4"/>
      <c r="V23" s="5">
        <f>MAX(ROUND(2*(CY23/L23), 0),1)</f>
        <v>2</v>
      </c>
      <c r="W23" s="5">
        <f>MAX(ROUND(7*(CY23/L23), 0),1)</f>
        <v>7</v>
      </c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2">
        <v>152</v>
      </c>
      <c r="CZ23" s="2">
        <f t="shared" si="1"/>
        <v>152</v>
      </c>
      <c r="DA23" s="9">
        <v>22.5</v>
      </c>
      <c r="DB23" s="9">
        <v>45</v>
      </c>
    </row>
    <row r="24" spans="1:106" ht="60" customHeight="1">
      <c r="A24" s="2" t="s">
        <v>1</v>
      </c>
      <c r="B24" s="2" t="s">
        <v>2</v>
      </c>
      <c r="C24" s="2" t="s">
        <v>7</v>
      </c>
      <c r="D24" s="2"/>
      <c r="E24" s="2" t="s">
        <v>53</v>
      </c>
      <c r="F24" s="2" t="s">
        <v>42</v>
      </c>
      <c r="G24" s="2">
        <v>41</v>
      </c>
      <c r="H24" s="2" t="s">
        <v>7</v>
      </c>
      <c r="I24" s="2" t="s">
        <v>20</v>
      </c>
      <c r="J24" s="2" t="s">
        <v>410</v>
      </c>
      <c r="K24" s="2">
        <v>1817708</v>
      </c>
      <c r="L24" s="3">
        <v>605</v>
      </c>
      <c r="M24" s="4"/>
      <c r="N24" s="4"/>
      <c r="O24" s="4"/>
      <c r="P24" s="4"/>
      <c r="Q24" s="4"/>
      <c r="R24" s="4"/>
      <c r="S24" s="5">
        <f>MAX(ROUND(237*(CY24/L24), 0),1)</f>
        <v>237</v>
      </c>
      <c r="T24" s="5">
        <f>MAX(ROUND(188*(CY24/L24), 0),1)</f>
        <v>188</v>
      </c>
      <c r="U24" s="5">
        <f>MAX(ROUND(123*(CY24/L24), 0),1)</f>
        <v>123</v>
      </c>
      <c r="V24" s="5">
        <f>MAX(ROUND(42*(CY24/L24), 0),1)</f>
        <v>42</v>
      </c>
      <c r="W24" s="5">
        <f>MAX(ROUND(15*(CY24/L24), 0),1)</f>
        <v>15</v>
      </c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2">
        <v>605</v>
      </c>
      <c r="CZ24" s="2">
        <f t="shared" si="1"/>
        <v>605</v>
      </c>
      <c r="DA24" s="9">
        <v>22.5</v>
      </c>
      <c r="DB24" s="9">
        <v>45</v>
      </c>
    </row>
    <row r="25" spans="1:106" ht="60" customHeight="1">
      <c r="A25" s="2" t="s">
        <v>1</v>
      </c>
      <c r="B25" s="2" t="s">
        <v>2</v>
      </c>
      <c r="C25" s="2" t="s">
        <v>7</v>
      </c>
      <c r="D25" s="2"/>
      <c r="E25" s="2" t="s">
        <v>53</v>
      </c>
      <c r="F25" s="2" t="s">
        <v>50</v>
      </c>
      <c r="G25" s="2">
        <v>51</v>
      </c>
      <c r="H25" s="2" t="s">
        <v>7</v>
      </c>
      <c r="I25" s="2" t="s">
        <v>20</v>
      </c>
      <c r="J25" s="2" t="s">
        <v>410</v>
      </c>
      <c r="K25" s="2">
        <v>1817709</v>
      </c>
      <c r="L25" s="3">
        <v>214</v>
      </c>
      <c r="M25" s="4"/>
      <c r="N25" s="4"/>
      <c r="O25" s="4"/>
      <c r="P25" s="4"/>
      <c r="Q25" s="4"/>
      <c r="R25" s="4"/>
      <c r="S25" s="5">
        <f>MAX(ROUND(80*(CY25/L25), 0),1)</f>
        <v>80</v>
      </c>
      <c r="T25" s="5">
        <f>MAX(ROUND(80*(CY25/L25), 0),1)</f>
        <v>80</v>
      </c>
      <c r="U25" s="5">
        <f>MAX(ROUND(43*(CY25/L25), 0),1)</f>
        <v>43</v>
      </c>
      <c r="V25" s="5">
        <f>MAX(ROUND(11*(CY25/L25), 0),1)</f>
        <v>11</v>
      </c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2">
        <v>214</v>
      </c>
      <c r="CZ25" s="2">
        <f t="shared" si="1"/>
        <v>214</v>
      </c>
      <c r="DA25" s="9">
        <v>22.5</v>
      </c>
      <c r="DB25" s="9">
        <v>45</v>
      </c>
    </row>
    <row r="26" spans="1:106" ht="60" customHeight="1">
      <c r="A26" s="2" t="s">
        <v>1</v>
      </c>
      <c r="B26" s="2" t="s">
        <v>2</v>
      </c>
      <c r="C26" s="2" t="s">
        <v>7</v>
      </c>
      <c r="D26" s="2"/>
      <c r="E26" s="2" t="s">
        <v>53</v>
      </c>
      <c r="F26" s="2" t="s">
        <v>16</v>
      </c>
      <c r="G26" s="2">
        <v>6</v>
      </c>
      <c r="H26" s="2" t="s">
        <v>7</v>
      </c>
      <c r="I26" s="2" t="s">
        <v>20</v>
      </c>
      <c r="J26" s="2" t="s">
        <v>410</v>
      </c>
      <c r="K26" s="2">
        <v>1817710</v>
      </c>
      <c r="L26" s="3">
        <v>171</v>
      </c>
      <c r="M26" s="4"/>
      <c r="N26" s="4"/>
      <c r="O26" s="4"/>
      <c r="P26" s="4"/>
      <c r="Q26" s="4"/>
      <c r="R26" s="4"/>
      <c r="S26" s="5">
        <f>MAX(ROUND(71*(CY26/L26), 0),1)</f>
        <v>71</v>
      </c>
      <c r="T26" s="5">
        <f>MAX(ROUND(28*(CY26/L26), 0),1)</f>
        <v>28</v>
      </c>
      <c r="U26" s="5">
        <f>MAX(ROUND(38*(CY26/L26), 0),1)</f>
        <v>38</v>
      </c>
      <c r="V26" s="5">
        <f>MAX(ROUND(11*(CY26/L26), 0),1)</f>
        <v>11</v>
      </c>
      <c r="W26" s="5">
        <f>MAX(ROUND(23*(CY26/L26), 0),1)</f>
        <v>23</v>
      </c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2">
        <v>171</v>
      </c>
      <c r="CZ26" s="2">
        <f t="shared" si="1"/>
        <v>171</v>
      </c>
      <c r="DA26" s="9">
        <v>22.5</v>
      </c>
      <c r="DB26" s="9">
        <v>45</v>
      </c>
    </row>
    <row r="27" spans="1:106" ht="60" customHeight="1">
      <c r="A27" s="2" t="s">
        <v>1</v>
      </c>
      <c r="B27" s="2" t="s">
        <v>2</v>
      </c>
      <c r="C27" s="2" t="s">
        <v>7</v>
      </c>
      <c r="D27" s="2"/>
      <c r="E27" s="2" t="s">
        <v>53</v>
      </c>
      <c r="F27" s="2" t="s">
        <v>45</v>
      </c>
      <c r="G27" s="2">
        <v>81</v>
      </c>
      <c r="H27" s="2" t="s">
        <v>7</v>
      </c>
      <c r="I27" s="2" t="s">
        <v>20</v>
      </c>
      <c r="J27" s="2" t="s">
        <v>410</v>
      </c>
      <c r="K27" s="2">
        <v>1817711</v>
      </c>
      <c r="L27" s="3">
        <v>575</v>
      </c>
      <c r="M27" s="4"/>
      <c r="N27" s="4"/>
      <c r="O27" s="4"/>
      <c r="P27" s="4"/>
      <c r="Q27" s="4"/>
      <c r="R27" s="4"/>
      <c r="S27" s="5">
        <f>MAX(ROUND(157*(CY27/L27), 0),1)</f>
        <v>157</v>
      </c>
      <c r="T27" s="5">
        <f>MAX(ROUND(203*(CY27/L27), 0),1)</f>
        <v>203</v>
      </c>
      <c r="U27" s="5">
        <f>MAX(ROUND(115*(CY27/L27), 0),1)</f>
        <v>115</v>
      </c>
      <c r="V27" s="5">
        <f>MAX(ROUND(66*(CY27/L27), 0),1)</f>
        <v>66</v>
      </c>
      <c r="W27" s="5">
        <f>MAX(ROUND(34*(CY27/L27), 0),1)</f>
        <v>34</v>
      </c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2">
        <v>575</v>
      </c>
      <c r="CZ27" s="2">
        <f t="shared" si="1"/>
        <v>575</v>
      </c>
      <c r="DA27" s="9">
        <v>22.5</v>
      </c>
      <c r="DB27" s="9">
        <v>45</v>
      </c>
    </row>
    <row r="28" spans="1:106" ht="60" customHeight="1">
      <c r="A28" s="2" t="s">
        <v>1</v>
      </c>
      <c r="B28" s="2" t="s">
        <v>6</v>
      </c>
      <c r="C28" s="2" t="s">
        <v>7</v>
      </c>
      <c r="D28" s="2"/>
      <c r="E28" s="2" t="s">
        <v>54</v>
      </c>
      <c r="F28" s="2" t="s">
        <v>55</v>
      </c>
      <c r="G28" s="2">
        <v>81</v>
      </c>
      <c r="H28" s="2" t="s">
        <v>7</v>
      </c>
      <c r="I28" s="2" t="s">
        <v>17</v>
      </c>
      <c r="J28" s="2" t="s">
        <v>411</v>
      </c>
      <c r="K28" s="2">
        <v>1819048</v>
      </c>
      <c r="L28" s="3">
        <v>44</v>
      </c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5"/>
      <c r="CM28" s="4"/>
      <c r="CN28" s="5"/>
      <c r="CO28" s="4"/>
      <c r="CP28" s="5"/>
      <c r="CQ28" s="4"/>
      <c r="CR28" s="5">
        <f>MAX(ROUND(27*(CY28/L28), 0),1)</f>
        <v>27</v>
      </c>
      <c r="CS28" s="4"/>
      <c r="CT28" s="4"/>
      <c r="CU28" s="5">
        <f>MAX(ROUND(17*(CY28/L28), 0),1)</f>
        <v>17</v>
      </c>
      <c r="CV28" s="4"/>
      <c r="CW28" s="4"/>
      <c r="CX28" s="4"/>
      <c r="CY28" s="2">
        <v>44</v>
      </c>
      <c r="CZ28" s="2">
        <f t="shared" si="1"/>
        <v>44</v>
      </c>
      <c r="DA28" s="9">
        <v>32.5</v>
      </c>
      <c r="DB28" s="9">
        <v>80</v>
      </c>
    </row>
    <row r="29" spans="1:106" ht="60" customHeight="1">
      <c r="A29" s="2" t="s">
        <v>1</v>
      </c>
      <c r="B29" s="2" t="s">
        <v>6</v>
      </c>
      <c r="C29" s="2" t="s">
        <v>7</v>
      </c>
      <c r="D29" s="2"/>
      <c r="E29" s="2" t="s">
        <v>56</v>
      </c>
      <c r="F29" s="2" t="s">
        <v>12</v>
      </c>
      <c r="G29" s="2">
        <v>8</v>
      </c>
      <c r="H29" s="2" t="s">
        <v>7</v>
      </c>
      <c r="I29" s="2" t="s">
        <v>8</v>
      </c>
      <c r="J29" s="2" t="s">
        <v>403</v>
      </c>
      <c r="K29" s="2">
        <v>2099006</v>
      </c>
      <c r="L29" s="3">
        <v>425</v>
      </c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5">
        <f>MAX(ROUND(83*(CY29/L29), 0),1)</f>
        <v>83</v>
      </c>
      <c r="CP29" s="4"/>
      <c r="CQ29" s="5">
        <f>MAX(ROUND(83*(CY29/L29), 0),1)</f>
        <v>83</v>
      </c>
      <c r="CR29" s="4"/>
      <c r="CS29" s="5">
        <f>MAX(ROUND(135*(CY29/L29), 0),1)</f>
        <v>135</v>
      </c>
      <c r="CT29" s="5">
        <f>MAX(ROUND(124*(CY29/L29), 0),1)</f>
        <v>124</v>
      </c>
      <c r="CU29" s="4"/>
      <c r="CV29" s="4"/>
      <c r="CW29" s="4"/>
      <c r="CX29" s="4"/>
      <c r="CY29" s="2">
        <v>425</v>
      </c>
      <c r="CZ29" s="2">
        <f t="shared" si="1"/>
        <v>425</v>
      </c>
      <c r="DA29" s="9">
        <v>15</v>
      </c>
      <c r="DB29" s="9">
        <v>30</v>
      </c>
    </row>
    <row r="30" spans="1:106" ht="60" customHeight="1">
      <c r="A30" s="2" t="s">
        <v>1</v>
      </c>
      <c r="B30" s="2" t="s">
        <v>6</v>
      </c>
      <c r="C30" s="2" t="s">
        <v>3</v>
      </c>
      <c r="D30" s="2"/>
      <c r="E30" s="2" t="s">
        <v>57</v>
      </c>
      <c r="F30" s="2" t="s">
        <v>58</v>
      </c>
      <c r="G30" s="2">
        <v>84</v>
      </c>
      <c r="H30" s="2" t="s">
        <v>4</v>
      </c>
      <c r="I30" s="2" t="s">
        <v>10</v>
      </c>
      <c r="J30" s="2" t="s">
        <v>416</v>
      </c>
      <c r="K30" s="2">
        <v>2562154</v>
      </c>
      <c r="L30" s="3">
        <v>103</v>
      </c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5"/>
      <c r="CO30" s="4"/>
      <c r="CP30" s="5"/>
      <c r="CQ30" s="4"/>
      <c r="CR30" s="5"/>
      <c r="CS30" s="4"/>
      <c r="CT30" s="4"/>
      <c r="CU30" s="5">
        <f>MAX(ROUND(103*(CY30/L30), 0),1)</f>
        <v>103</v>
      </c>
      <c r="CV30" s="5"/>
      <c r="CW30" s="4"/>
      <c r="CX30" s="4"/>
      <c r="CY30" s="2">
        <v>103</v>
      </c>
      <c r="CZ30" s="2">
        <f t="shared" si="1"/>
        <v>103</v>
      </c>
      <c r="DA30" s="9">
        <v>26.82</v>
      </c>
      <c r="DB30" s="9">
        <v>54.99</v>
      </c>
    </row>
    <row r="31" spans="1:106" ht="60" customHeight="1">
      <c r="A31" s="2" t="s">
        <v>1</v>
      </c>
      <c r="B31" s="2" t="s">
        <v>2</v>
      </c>
      <c r="C31" s="2" t="s">
        <v>7</v>
      </c>
      <c r="D31" s="2"/>
      <c r="E31" s="2" t="s">
        <v>39</v>
      </c>
      <c r="F31" s="2" t="s">
        <v>62</v>
      </c>
      <c r="G31" s="2">
        <v>7</v>
      </c>
      <c r="H31" s="2" t="s">
        <v>7</v>
      </c>
      <c r="I31" s="2" t="s">
        <v>14</v>
      </c>
      <c r="J31" s="2" t="s">
        <v>412</v>
      </c>
      <c r="K31" s="2">
        <v>2840652</v>
      </c>
      <c r="L31" s="3">
        <v>156</v>
      </c>
      <c r="M31" s="4"/>
      <c r="N31" s="4"/>
      <c r="O31" s="4"/>
      <c r="P31" s="4"/>
      <c r="Q31" s="4"/>
      <c r="R31" s="4"/>
      <c r="S31" s="5">
        <f>MAX(ROUND(56*(CY31/L31), 0),1)</f>
        <v>56</v>
      </c>
      <c r="T31" s="5">
        <f>MAX(ROUND(6*(CY31/L31), 0),1)</f>
        <v>6</v>
      </c>
      <c r="U31" s="5">
        <f>MAX(ROUND(43*(CY31/L31), 0),1)</f>
        <v>43</v>
      </c>
      <c r="V31" s="5">
        <f>MAX(ROUND(30*(CY31/L31), 0),1)</f>
        <v>30</v>
      </c>
      <c r="W31" s="5">
        <f>MAX(ROUND(21*(CY31/L31), 0),1)</f>
        <v>21</v>
      </c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2">
        <v>156</v>
      </c>
      <c r="CZ31" s="2">
        <f t="shared" ref="CZ31:CZ38" si="2">SUM(M31:CX31)</f>
        <v>156</v>
      </c>
      <c r="DA31" s="9">
        <v>11</v>
      </c>
      <c r="DB31" s="9">
        <v>22</v>
      </c>
    </row>
    <row r="32" spans="1:106" ht="60" customHeight="1">
      <c r="A32" s="2" t="s">
        <v>1</v>
      </c>
      <c r="B32" s="2" t="s">
        <v>6</v>
      </c>
      <c r="C32" s="2" t="s">
        <v>7</v>
      </c>
      <c r="D32" s="2"/>
      <c r="E32" s="2" t="s">
        <v>63</v>
      </c>
      <c r="F32" s="2" t="s">
        <v>30</v>
      </c>
      <c r="G32" s="2">
        <v>43</v>
      </c>
      <c r="H32" s="2" t="s">
        <v>7</v>
      </c>
      <c r="I32" s="2" t="s">
        <v>64</v>
      </c>
      <c r="J32" s="2" t="s">
        <v>409</v>
      </c>
      <c r="K32" s="2">
        <v>4316235</v>
      </c>
      <c r="L32" s="3">
        <v>15</v>
      </c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5"/>
      <c r="CM32" s="4"/>
      <c r="CN32" s="5"/>
      <c r="CO32" s="4"/>
      <c r="CP32" s="5"/>
      <c r="CQ32" s="4"/>
      <c r="CR32" s="5"/>
      <c r="CS32" s="4"/>
      <c r="CT32" s="4"/>
      <c r="CU32" s="5">
        <f>MAX(ROUND(15*(CY32/L32), 0),1)</f>
        <v>15</v>
      </c>
      <c r="CV32" s="4"/>
      <c r="CW32" s="4"/>
      <c r="CX32" s="4"/>
      <c r="CY32" s="2">
        <v>15</v>
      </c>
      <c r="CZ32" s="2">
        <f t="shared" si="2"/>
        <v>15</v>
      </c>
      <c r="DA32" s="9">
        <v>20</v>
      </c>
      <c r="DB32" s="9">
        <v>40</v>
      </c>
    </row>
    <row r="33" spans="1:106" ht="60" customHeight="1">
      <c r="A33" s="2" t="s">
        <v>1</v>
      </c>
      <c r="B33" s="2" t="s">
        <v>2</v>
      </c>
      <c r="C33" s="2" t="s">
        <v>7</v>
      </c>
      <c r="D33" s="2"/>
      <c r="E33" s="2" t="s">
        <v>66</v>
      </c>
      <c r="F33" s="2" t="s">
        <v>65</v>
      </c>
      <c r="G33" s="2">
        <v>53</v>
      </c>
      <c r="H33" s="2" t="s">
        <v>7</v>
      </c>
      <c r="I33" s="2" t="s">
        <v>64</v>
      </c>
      <c r="J33" s="2" t="s">
        <v>409</v>
      </c>
      <c r="K33" s="2">
        <v>4316243</v>
      </c>
      <c r="L33" s="3">
        <v>14</v>
      </c>
      <c r="M33" s="4"/>
      <c r="N33" s="4"/>
      <c r="O33" s="4"/>
      <c r="P33" s="4"/>
      <c r="Q33" s="4"/>
      <c r="R33" s="4"/>
      <c r="S33" s="5"/>
      <c r="T33" s="5"/>
      <c r="U33" s="5"/>
      <c r="V33" s="5">
        <f>MAX(ROUND(14*(CY33/L33), 0),1)</f>
        <v>14</v>
      </c>
      <c r="W33" s="4"/>
      <c r="X33" s="5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2">
        <v>14</v>
      </c>
      <c r="CZ33" s="2">
        <f t="shared" si="2"/>
        <v>14</v>
      </c>
      <c r="DA33" s="9">
        <v>22.5</v>
      </c>
      <c r="DB33" s="9">
        <v>45</v>
      </c>
    </row>
    <row r="34" spans="1:106" ht="60" customHeight="1">
      <c r="A34" s="2" t="s">
        <v>1</v>
      </c>
      <c r="B34" s="2" t="s">
        <v>6</v>
      </c>
      <c r="C34" s="2" t="s">
        <v>7</v>
      </c>
      <c r="D34" s="2"/>
      <c r="E34" s="2" t="s">
        <v>67</v>
      </c>
      <c r="F34" s="2" t="s">
        <v>65</v>
      </c>
      <c r="G34" s="2">
        <v>53</v>
      </c>
      <c r="H34" s="2" t="s">
        <v>7</v>
      </c>
      <c r="I34" s="2" t="s">
        <v>64</v>
      </c>
      <c r="J34" s="2" t="s">
        <v>410</v>
      </c>
      <c r="K34" s="2">
        <v>4316262</v>
      </c>
      <c r="L34" s="3">
        <v>33</v>
      </c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5"/>
      <c r="CM34" s="4"/>
      <c r="CN34" s="5"/>
      <c r="CO34" s="4"/>
      <c r="CP34" s="5">
        <f>MAX(ROUND(13*(CY34/L34), 0),1)</f>
        <v>13</v>
      </c>
      <c r="CQ34" s="4"/>
      <c r="CR34" s="5"/>
      <c r="CS34" s="4"/>
      <c r="CT34" s="4"/>
      <c r="CU34" s="5">
        <f>MAX(ROUND(20*(CY34/L34), 0),1)</f>
        <v>20</v>
      </c>
      <c r="CV34" s="4"/>
      <c r="CW34" s="4"/>
      <c r="CX34" s="4"/>
      <c r="CY34" s="2">
        <v>33</v>
      </c>
      <c r="CZ34" s="2">
        <f t="shared" si="2"/>
        <v>33</v>
      </c>
      <c r="DA34" s="9">
        <v>20</v>
      </c>
      <c r="DB34" s="9">
        <v>45</v>
      </c>
    </row>
    <row r="35" spans="1:106" ht="60" customHeight="1">
      <c r="A35" s="2" t="s">
        <v>1</v>
      </c>
      <c r="B35" s="2" t="s">
        <v>6</v>
      </c>
      <c r="C35" s="2" t="s">
        <v>7</v>
      </c>
      <c r="D35" s="2"/>
      <c r="E35" s="2" t="s">
        <v>67</v>
      </c>
      <c r="F35" s="2" t="s">
        <v>68</v>
      </c>
      <c r="G35" s="2">
        <v>83</v>
      </c>
      <c r="H35" s="2" t="s">
        <v>7</v>
      </c>
      <c r="I35" s="2" t="s">
        <v>64</v>
      </c>
      <c r="J35" s="2" t="s">
        <v>410</v>
      </c>
      <c r="K35" s="2">
        <v>4316265</v>
      </c>
      <c r="L35" s="3">
        <v>22</v>
      </c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5"/>
      <c r="CM35" s="4"/>
      <c r="CN35" s="5">
        <f>MAX(ROUND(17*(CY35/L35), 0),1)</f>
        <v>17</v>
      </c>
      <c r="CO35" s="4"/>
      <c r="CP35" s="5">
        <f>MAX(ROUND(2*(CY35/L35), 0),1)</f>
        <v>2</v>
      </c>
      <c r="CQ35" s="4"/>
      <c r="CR35" s="5"/>
      <c r="CS35" s="4"/>
      <c r="CT35" s="4"/>
      <c r="CU35" s="5">
        <f>MAX(ROUND(3*(CY35/L35), 0),1)</f>
        <v>3</v>
      </c>
      <c r="CV35" s="4"/>
      <c r="CW35" s="4"/>
      <c r="CX35" s="4"/>
      <c r="CY35" s="2">
        <v>22</v>
      </c>
      <c r="CZ35" s="2">
        <f t="shared" si="2"/>
        <v>22</v>
      </c>
      <c r="DA35" s="9">
        <v>20</v>
      </c>
      <c r="DB35" s="9">
        <v>45</v>
      </c>
    </row>
    <row r="36" spans="1:106" ht="60" customHeight="1">
      <c r="A36" s="2" t="s">
        <v>1</v>
      </c>
      <c r="B36" s="2" t="s">
        <v>6</v>
      </c>
      <c r="C36" s="2" t="s">
        <v>7</v>
      </c>
      <c r="D36" s="2"/>
      <c r="E36" s="2" t="s">
        <v>69</v>
      </c>
      <c r="F36" s="2" t="s">
        <v>12</v>
      </c>
      <c r="G36" s="2">
        <v>8</v>
      </c>
      <c r="H36" s="2" t="s">
        <v>7</v>
      </c>
      <c r="I36" s="2" t="s">
        <v>17</v>
      </c>
      <c r="J36" s="2" t="s">
        <v>409</v>
      </c>
      <c r="K36" s="2">
        <v>4318565</v>
      </c>
      <c r="L36" s="3">
        <v>44</v>
      </c>
      <c r="M36" s="4"/>
      <c r="N36" s="4"/>
      <c r="O36" s="4"/>
      <c r="P36" s="4"/>
      <c r="Q36" s="4"/>
      <c r="R36" s="4"/>
      <c r="S36" s="5"/>
      <c r="T36" s="5"/>
      <c r="U36" s="5"/>
      <c r="V36" s="5"/>
      <c r="W36" s="4"/>
      <c r="X36" s="5">
        <f>MAX(ROUND(17*(CY36/L36), 0),1)</f>
        <v>17</v>
      </c>
      <c r="Y36" s="5">
        <f>MAX(ROUND(27*(CY36/L36), 0),1)</f>
        <v>27</v>
      </c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2">
        <v>44</v>
      </c>
      <c r="CZ36" s="2">
        <f t="shared" si="2"/>
        <v>44</v>
      </c>
      <c r="DA36" s="9">
        <v>20</v>
      </c>
      <c r="DB36" s="9">
        <v>40</v>
      </c>
    </row>
    <row r="37" spans="1:106" ht="60" customHeight="1">
      <c r="A37" s="2" t="s">
        <v>1</v>
      </c>
      <c r="B37" s="2" t="s">
        <v>2</v>
      </c>
      <c r="C37" s="2" t="s">
        <v>7</v>
      </c>
      <c r="D37" s="2"/>
      <c r="E37" s="2" t="s">
        <v>24</v>
      </c>
      <c r="F37" s="2" t="s">
        <v>70</v>
      </c>
      <c r="G37" s="2">
        <v>52</v>
      </c>
      <c r="H37" s="2" t="s">
        <v>7</v>
      </c>
      <c r="I37" s="2" t="s">
        <v>14</v>
      </c>
      <c r="J37" s="2" t="s">
        <v>402</v>
      </c>
      <c r="K37" s="2">
        <v>7584531</v>
      </c>
      <c r="L37" s="3">
        <v>302</v>
      </c>
      <c r="M37" s="4"/>
      <c r="N37" s="4"/>
      <c r="O37" s="4"/>
      <c r="P37" s="4"/>
      <c r="Q37" s="4"/>
      <c r="R37" s="4"/>
      <c r="S37" s="5">
        <f>MAX(ROUND(120*(CY37/L37), 0),1)</f>
        <v>120</v>
      </c>
      <c r="T37" s="5">
        <f>MAX(ROUND(135*(CY37/L37), 0),1)</f>
        <v>135</v>
      </c>
      <c r="U37" s="4"/>
      <c r="V37" s="5">
        <f>MAX(ROUND(46*(CY37/L37), 0),1)</f>
        <v>46</v>
      </c>
      <c r="W37" s="5">
        <f>MAX(ROUND(1*(CY37/L37), 0),1)</f>
        <v>1</v>
      </c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2">
        <v>302</v>
      </c>
      <c r="CZ37" s="2">
        <f t="shared" si="2"/>
        <v>302</v>
      </c>
      <c r="DA37" s="9">
        <v>8.5</v>
      </c>
      <c r="DB37" s="9">
        <v>17</v>
      </c>
    </row>
    <row r="38" spans="1:106" ht="60" customHeight="1">
      <c r="A38" s="2" t="s">
        <v>1</v>
      </c>
      <c r="B38" s="2" t="s">
        <v>2</v>
      </c>
      <c r="C38" s="2" t="s">
        <v>3</v>
      </c>
      <c r="D38" s="2"/>
      <c r="E38" s="2" t="s">
        <v>72</v>
      </c>
      <c r="F38" s="2" t="s">
        <v>11</v>
      </c>
      <c r="G38" s="2">
        <v>3</v>
      </c>
      <c r="H38" s="2" t="s">
        <v>4</v>
      </c>
      <c r="I38" s="2" t="s">
        <v>73</v>
      </c>
      <c r="J38" s="2" t="s">
        <v>411</v>
      </c>
      <c r="K38" s="2">
        <v>7597700</v>
      </c>
      <c r="L38" s="3">
        <v>21</v>
      </c>
      <c r="M38" s="4"/>
      <c r="N38" s="4"/>
      <c r="O38" s="4"/>
      <c r="P38" s="4"/>
      <c r="Q38" s="4"/>
      <c r="R38" s="5">
        <f>MAX(ROUND(13*(CY38/L38), 0),1)</f>
        <v>13</v>
      </c>
      <c r="S38" s="5">
        <f>MAX(ROUND(8*(CY38/L38), 0),1)</f>
        <v>8</v>
      </c>
      <c r="T38" s="5"/>
      <c r="U38" s="5"/>
      <c r="V38" s="5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2">
        <v>21</v>
      </c>
      <c r="CZ38" s="2">
        <f t="shared" si="2"/>
        <v>21</v>
      </c>
      <c r="DA38" s="9">
        <v>34.15</v>
      </c>
      <c r="DB38" s="9">
        <v>70</v>
      </c>
    </row>
    <row r="39" spans="1:106" ht="60" customHeight="1">
      <c r="A39" s="2" t="s">
        <v>1</v>
      </c>
      <c r="B39" s="2" t="s">
        <v>2</v>
      </c>
      <c r="C39" s="2" t="s">
        <v>3</v>
      </c>
      <c r="D39" s="2"/>
      <c r="E39" s="2" t="s">
        <v>75</v>
      </c>
      <c r="F39" s="2" t="s">
        <v>41</v>
      </c>
      <c r="G39" s="2">
        <v>32</v>
      </c>
      <c r="H39" s="2" t="s">
        <v>4</v>
      </c>
      <c r="I39" s="2" t="s">
        <v>73</v>
      </c>
      <c r="J39" s="2" t="s">
        <v>409</v>
      </c>
      <c r="K39" s="2">
        <v>7599039</v>
      </c>
      <c r="L39" s="3">
        <v>144</v>
      </c>
      <c r="M39" s="4"/>
      <c r="N39" s="4"/>
      <c r="O39" s="4"/>
      <c r="P39" s="4"/>
      <c r="Q39" s="4"/>
      <c r="R39" s="5">
        <f>MAX(ROUND(14*(CY39/L39), 0),1)</f>
        <v>14</v>
      </c>
      <c r="S39" s="5">
        <f>MAX(ROUND(84*(CY39/L39), 0),1)</f>
        <v>84</v>
      </c>
      <c r="T39" s="5">
        <f>MAX(ROUND(25*(CY39/L39), 0),1)</f>
        <v>25</v>
      </c>
      <c r="U39" s="5"/>
      <c r="V39" s="5">
        <f>MAX(ROUND(21*(CY39/L39), 0),1)</f>
        <v>21</v>
      </c>
      <c r="W39" s="4"/>
      <c r="X39" s="5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2">
        <v>144</v>
      </c>
      <c r="CZ39" s="2">
        <f t="shared" ref="CZ39:CZ56" si="3">SUM(M39:CX39)</f>
        <v>144</v>
      </c>
      <c r="DA39" s="9">
        <v>29.27</v>
      </c>
      <c r="DB39" s="9">
        <v>60</v>
      </c>
    </row>
    <row r="40" spans="1:106" ht="60" customHeight="1">
      <c r="A40" s="2" t="s">
        <v>1</v>
      </c>
      <c r="B40" s="2" t="s">
        <v>2</v>
      </c>
      <c r="C40" s="2" t="s">
        <v>3</v>
      </c>
      <c r="D40" s="2"/>
      <c r="E40" s="2" t="s">
        <v>76</v>
      </c>
      <c r="F40" s="2" t="s">
        <v>77</v>
      </c>
      <c r="G40" s="2">
        <v>43</v>
      </c>
      <c r="H40" s="2" t="s">
        <v>4</v>
      </c>
      <c r="I40" s="2" t="s">
        <v>73</v>
      </c>
      <c r="J40" s="2" t="s">
        <v>409</v>
      </c>
      <c r="K40" s="2">
        <v>7599086</v>
      </c>
      <c r="L40" s="3">
        <v>30</v>
      </c>
      <c r="M40" s="4"/>
      <c r="N40" s="4"/>
      <c r="O40" s="4"/>
      <c r="P40" s="4"/>
      <c r="Q40" s="4"/>
      <c r="R40" s="5"/>
      <c r="S40" s="5"/>
      <c r="T40" s="5">
        <f>MAX(ROUND(12*(CY40/L40), 0),1)</f>
        <v>12</v>
      </c>
      <c r="U40" s="5">
        <f>MAX(ROUND(18*(CY40/L40), 0),1)</f>
        <v>18</v>
      </c>
      <c r="V40" s="5"/>
      <c r="W40" s="4"/>
      <c r="X40" s="5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2">
        <v>30</v>
      </c>
      <c r="CZ40" s="2">
        <f t="shared" si="3"/>
        <v>30</v>
      </c>
      <c r="DA40" s="9">
        <v>24.39</v>
      </c>
      <c r="DB40" s="9">
        <v>50</v>
      </c>
    </row>
    <row r="41" spans="1:106" ht="60" customHeight="1">
      <c r="A41" s="2" t="s">
        <v>1</v>
      </c>
      <c r="B41" s="2" t="s">
        <v>2</v>
      </c>
      <c r="C41" s="2" t="s">
        <v>3</v>
      </c>
      <c r="D41" s="2"/>
      <c r="E41" s="2" t="s">
        <v>76</v>
      </c>
      <c r="F41" s="2" t="s">
        <v>45</v>
      </c>
      <c r="G41" s="2">
        <v>82</v>
      </c>
      <c r="H41" s="2" t="s">
        <v>4</v>
      </c>
      <c r="I41" s="2" t="s">
        <v>73</v>
      </c>
      <c r="J41" s="2" t="s">
        <v>409</v>
      </c>
      <c r="K41" s="2">
        <v>7599088</v>
      </c>
      <c r="L41" s="3">
        <v>61</v>
      </c>
      <c r="M41" s="4"/>
      <c r="N41" s="4"/>
      <c r="O41" s="4"/>
      <c r="P41" s="4"/>
      <c r="Q41" s="4"/>
      <c r="R41" s="5">
        <f>MAX(ROUND(1*(CY41/L41), 0),1)</f>
        <v>1</v>
      </c>
      <c r="S41" s="5">
        <f>MAX(ROUND(60*(CY41/L41), 0),1)</f>
        <v>60</v>
      </c>
      <c r="T41" s="5"/>
      <c r="U41" s="5"/>
      <c r="V41" s="5"/>
      <c r="W41" s="4"/>
      <c r="X41" s="5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2">
        <v>61</v>
      </c>
      <c r="CZ41" s="2">
        <f t="shared" si="3"/>
        <v>61</v>
      </c>
      <c r="DA41" s="9">
        <v>24.39</v>
      </c>
      <c r="DB41" s="9">
        <v>50</v>
      </c>
    </row>
    <row r="42" spans="1:106" ht="60" customHeight="1">
      <c r="A42" s="2" t="s">
        <v>1</v>
      </c>
      <c r="B42" s="2" t="s">
        <v>2</v>
      </c>
      <c r="C42" s="2" t="s">
        <v>3</v>
      </c>
      <c r="D42" s="2"/>
      <c r="E42" s="2" t="s">
        <v>78</v>
      </c>
      <c r="F42" s="2" t="s">
        <v>12</v>
      </c>
      <c r="G42" s="2">
        <v>8</v>
      </c>
      <c r="H42" s="2" t="s">
        <v>4</v>
      </c>
      <c r="I42" s="2" t="s">
        <v>79</v>
      </c>
      <c r="J42" s="2" t="s">
        <v>411</v>
      </c>
      <c r="K42" s="2">
        <v>7599100</v>
      </c>
      <c r="L42" s="3">
        <v>268</v>
      </c>
      <c r="M42" s="4"/>
      <c r="N42" s="4"/>
      <c r="O42" s="4"/>
      <c r="P42" s="4"/>
      <c r="Q42" s="4"/>
      <c r="R42" s="4"/>
      <c r="S42" s="5">
        <f>MAX(ROUND(62*(CY42/L42), 0),1)</f>
        <v>62</v>
      </c>
      <c r="T42" s="5">
        <f>MAX(ROUND(63*(CY42/L42), 0),1)</f>
        <v>63</v>
      </c>
      <c r="U42" s="5">
        <f>MAX(ROUND(60*(CY42/L42), 0),1)</f>
        <v>60</v>
      </c>
      <c r="V42" s="5">
        <f>MAX(ROUND(44*(CY42/L42), 0),1)</f>
        <v>44</v>
      </c>
      <c r="W42" s="4"/>
      <c r="X42" s="5">
        <f>MAX(ROUND(39*(CY42/L42), 0),1)</f>
        <v>39</v>
      </c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2">
        <v>268</v>
      </c>
      <c r="CZ42" s="2">
        <f t="shared" si="3"/>
        <v>268</v>
      </c>
      <c r="DA42" s="9">
        <v>29.27</v>
      </c>
      <c r="DB42" s="9">
        <v>60</v>
      </c>
    </row>
    <row r="43" spans="1:106" ht="60" customHeight="1">
      <c r="A43" s="2" t="s">
        <v>1</v>
      </c>
      <c r="B43" s="2" t="s">
        <v>2</v>
      </c>
      <c r="C43" s="2" t="s">
        <v>3</v>
      </c>
      <c r="D43" s="2"/>
      <c r="E43" s="2" t="s">
        <v>80</v>
      </c>
      <c r="F43" s="2" t="s">
        <v>41</v>
      </c>
      <c r="G43" s="2">
        <v>32</v>
      </c>
      <c r="H43" s="2" t="s">
        <v>4</v>
      </c>
      <c r="I43" s="2" t="s">
        <v>73</v>
      </c>
      <c r="J43" s="2" t="s">
        <v>411</v>
      </c>
      <c r="K43" s="2">
        <v>7599112</v>
      </c>
      <c r="L43" s="3">
        <v>130</v>
      </c>
      <c r="M43" s="4"/>
      <c r="N43" s="4"/>
      <c r="O43" s="4"/>
      <c r="P43" s="4"/>
      <c r="Q43" s="4"/>
      <c r="R43" s="4"/>
      <c r="S43" s="5">
        <f>MAX(ROUND(32*(CY43/L43), 0),1)</f>
        <v>32</v>
      </c>
      <c r="T43" s="5"/>
      <c r="U43" s="5">
        <f>MAX(ROUND(53*(CY43/L43), 0),1)</f>
        <v>53</v>
      </c>
      <c r="V43" s="5">
        <f>MAX(ROUND(45*(CY43/L43), 0),1)</f>
        <v>45</v>
      </c>
      <c r="W43" s="4"/>
      <c r="X43" s="5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2">
        <v>130</v>
      </c>
      <c r="CZ43" s="2">
        <f t="shared" si="3"/>
        <v>130</v>
      </c>
      <c r="DA43" s="9">
        <v>29.27</v>
      </c>
      <c r="DB43" s="9">
        <v>60</v>
      </c>
    </row>
    <row r="44" spans="1:106" ht="60" customHeight="1">
      <c r="A44" s="2" t="s">
        <v>1</v>
      </c>
      <c r="B44" s="2" t="s">
        <v>2</v>
      </c>
      <c r="C44" s="2" t="s">
        <v>3</v>
      </c>
      <c r="D44" s="2"/>
      <c r="E44" s="2" t="s">
        <v>72</v>
      </c>
      <c r="F44" s="2" t="s">
        <v>12</v>
      </c>
      <c r="G44" s="2">
        <v>8</v>
      </c>
      <c r="H44" s="2" t="s">
        <v>4</v>
      </c>
      <c r="I44" s="2" t="s">
        <v>73</v>
      </c>
      <c r="J44" s="2" t="s">
        <v>411</v>
      </c>
      <c r="K44" s="2">
        <v>7599114</v>
      </c>
      <c r="L44" s="3">
        <v>244</v>
      </c>
      <c r="M44" s="4"/>
      <c r="N44" s="4"/>
      <c r="O44" s="4"/>
      <c r="P44" s="4"/>
      <c r="Q44" s="4"/>
      <c r="R44" s="5">
        <f>MAX(ROUND(12*(CY44/L44), 0),1)</f>
        <v>12</v>
      </c>
      <c r="S44" s="5">
        <f>MAX(ROUND(61*(CY44/L44), 0),1)</f>
        <v>61</v>
      </c>
      <c r="T44" s="5">
        <f>MAX(ROUND(76*(CY44/L44), 0),1)</f>
        <v>76</v>
      </c>
      <c r="U44" s="5">
        <f>MAX(ROUND(62*(CY44/L44), 0),1)</f>
        <v>62</v>
      </c>
      <c r="V44" s="5">
        <f>MAX(ROUND(27*(CY44/L44), 0),1)</f>
        <v>27</v>
      </c>
      <c r="W44" s="4"/>
      <c r="X44" s="5">
        <f>MAX(ROUND(6*(CY44/L44), 0),1)</f>
        <v>6</v>
      </c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2">
        <v>244</v>
      </c>
      <c r="CZ44" s="2">
        <f t="shared" si="3"/>
        <v>244</v>
      </c>
      <c r="DA44" s="9">
        <v>43.9</v>
      </c>
      <c r="DB44" s="9">
        <v>90</v>
      </c>
    </row>
    <row r="45" spans="1:106" ht="60" customHeight="1">
      <c r="A45" s="2" t="s">
        <v>1</v>
      </c>
      <c r="B45" s="2" t="s">
        <v>6</v>
      </c>
      <c r="C45" s="2" t="s">
        <v>3</v>
      </c>
      <c r="D45" s="2"/>
      <c r="E45" s="2" t="s">
        <v>85</v>
      </c>
      <c r="F45" s="2" t="s">
        <v>22</v>
      </c>
      <c r="G45" s="2">
        <v>10</v>
      </c>
      <c r="H45" s="2" t="s">
        <v>4</v>
      </c>
      <c r="I45" s="2" t="s">
        <v>86</v>
      </c>
      <c r="J45" s="2" t="s">
        <v>404</v>
      </c>
      <c r="K45" s="2">
        <v>7601900</v>
      </c>
      <c r="L45" s="3">
        <v>95</v>
      </c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5"/>
      <c r="CO45" s="4"/>
      <c r="CP45" s="5"/>
      <c r="CQ45" s="4"/>
      <c r="CR45" s="5"/>
      <c r="CS45" s="4"/>
      <c r="CT45" s="4"/>
      <c r="CU45" s="5"/>
      <c r="CV45" s="5">
        <f>MAX(ROUND(95*(CY45/L45), 0),1)</f>
        <v>95</v>
      </c>
      <c r="CW45" s="4"/>
      <c r="CX45" s="4"/>
      <c r="CY45" s="2">
        <v>95</v>
      </c>
      <c r="CZ45" s="2">
        <f t="shared" si="3"/>
        <v>95</v>
      </c>
      <c r="DA45" s="9">
        <v>9.76</v>
      </c>
      <c r="DB45" s="9">
        <v>20</v>
      </c>
    </row>
    <row r="46" spans="1:106" ht="60" customHeight="1">
      <c r="A46" s="2" t="s">
        <v>1</v>
      </c>
      <c r="B46" s="2" t="s">
        <v>6</v>
      </c>
      <c r="C46" s="2" t="s">
        <v>3</v>
      </c>
      <c r="D46" s="2"/>
      <c r="E46" s="2" t="s">
        <v>85</v>
      </c>
      <c r="F46" s="2" t="s">
        <v>87</v>
      </c>
      <c r="G46" s="2">
        <v>5</v>
      </c>
      <c r="H46" s="2" t="s">
        <v>4</v>
      </c>
      <c r="I46" s="2" t="s">
        <v>86</v>
      </c>
      <c r="J46" s="2" t="s">
        <v>404</v>
      </c>
      <c r="K46" s="2">
        <v>7601901</v>
      </c>
      <c r="L46" s="3">
        <v>64</v>
      </c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5"/>
      <c r="CO46" s="4"/>
      <c r="CP46" s="5"/>
      <c r="CQ46" s="4"/>
      <c r="CR46" s="5"/>
      <c r="CS46" s="4"/>
      <c r="CT46" s="4"/>
      <c r="CU46" s="5"/>
      <c r="CV46" s="5">
        <f>MAX(ROUND(64*(CY46/L46), 0),1)</f>
        <v>64</v>
      </c>
      <c r="CW46" s="4"/>
      <c r="CX46" s="4"/>
      <c r="CY46" s="2">
        <v>64</v>
      </c>
      <c r="CZ46" s="2">
        <f t="shared" si="3"/>
        <v>64</v>
      </c>
      <c r="DA46" s="9">
        <v>9.76</v>
      </c>
      <c r="DB46" s="9">
        <v>20</v>
      </c>
    </row>
    <row r="47" spans="1:106" ht="60" customHeight="1">
      <c r="A47" s="2" t="s">
        <v>1</v>
      </c>
      <c r="B47" s="2" t="s">
        <v>2</v>
      </c>
      <c r="C47" s="2" t="s">
        <v>3</v>
      </c>
      <c r="D47" s="2"/>
      <c r="E47" s="2" t="s">
        <v>88</v>
      </c>
      <c r="F47" s="2" t="s">
        <v>12</v>
      </c>
      <c r="G47" s="2">
        <v>8</v>
      </c>
      <c r="H47" s="2" t="s">
        <v>4</v>
      </c>
      <c r="I47" s="2" t="s">
        <v>86</v>
      </c>
      <c r="J47" s="2" t="s">
        <v>404</v>
      </c>
      <c r="K47" s="2">
        <v>7601906</v>
      </c>
      <c r="L47" s="3">
        <v>37</v>
      </c>
      <c r="M47" s="4"/>
      <c r="N47" s="4"/>
      <c r="O47" s="4"/>
      <c r="P47" s="4"/>
      <c r="Q47" s="4"/>
      <c r="R47" s="4"/>
      <c r="S47" s="5">
        <f>MAX(ROUND(37*(CY47/L47), 0),1)</f>
        <v>37</v>
      </c>
      <c r="T47" s="5"/>
      <c r="U47" s="5"/>
      <c r="V47" s="5"/>
      <c r="W47" s="4"/>
      <c r="X47" s="5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2">
        <v>37</v>
      </c>
      <c r="CZ47" s="2">
        <f t="shared" si="3"/>
        <v>37</v>
      </c>
      <c r="DA47" s="9">
        <v>12.2</v>
      </c>
      <c r="DB47" s="9">
        <v>25</v>
      </c>
    </row>
    <row r="48" spans="1:106" ht="60" customHeight="1">
      <c r="A48" s="2" t="s">
        <v>1</v>
      </c>
      <c r="B48" s="2" t="s">
        <v>2</v>
      </c>
      <c r="C48" s="2" t="s">
        <v>3</v>
      </c>
      <c r="D48" s="2"/>
      <c r="E48" s="2" t="s">
        <v>89</v>
      </c>
      <c r="F48" s="2" t="s">
        <v>22</v>
      </c>
      <c r="G48" s="2">
        <v>10</v>
      </c>
      <c r="H48" s="2" t="s">
        <v>4</v>
      </c>
      <c r="I48" s="2" t="s">
        <v>86</v>
      </c>
      <c r="J48" s="2" t="s">
        <v>413</v>
      </c>
      <c r="K48" s="2">
        <v>7601907</v>
      </c>
      <c r="L48" s="3">
        <v>51</v>
      </c>
      <c r="M48" s="4"/>
      <c r="N48" s="4"/>
      <c r="O48" s="4"/>
      <c r="P48" s="4"/>
      <c r="Q48" s="4"/>
      <c r="R48" s="4"/>
      <c r="S48" s="5">
        <f>MAX(ROUND(51*(CY48/L48), 0),1)</f>
        <v>51</v>
      </c>
      <c r="T48" s="5"/>
      <c r="U48" s="5"/>
      <c r="V48" s="5"/>
      <c r="W48" s="4"/>
      <c r="X48" s="5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2">
        <v>51</v>
      </c>
      <c r="CZ48" s="2">
        <f t="shared" si="3"/>
        <v>51</v>
      </c>
      <c r="DA48" s="9">
        <v>17.07</v>
      </c>
      <c r="DB48" s="9">
        <v>35</v>
      </c>
    </row>
    <row r="49" spans="1:106" ht="60" customHeight="1">
      <c r="A49" s="2" t="s">
        <v>1</v>
      </c>
      <c r="B49" s="2" t="s">
        <v>2</v>
      </c>
      <c r="C49" s="2" t="s">
        <v>3</v>
      </c>
      <c r="D49" s="2"/>
      <c r="E49" s="2" t="s">
        <v>89</v>
      </c>
      <c r="F49" s="2" t="s">
        <v>12</v>
      </c>
      <c r="G49" s="2">
        <v>8</v>
      </c>
      <c r="H49" s="2" t="s">
        <v>4</v>
      </c>
      <c r="I49" s="2" t="s">
        <v>86</v>
      </c>
      <c r="J49" s="2" t="s">
        <v>413</v>
      </c>
      <c r="K49" s="2">
        <v>7601909</v>
      </c>
      <c r="L49" s="3">
        <v>37</v>
      </c>
      <c r="M49" s="4"/>
      <c r="N49" s="4"/>
      <c r="O49" s="4"/>
      <c r="P49" s="4"/>
      <c r="Q49" s="4"/>
      <c r="R49" s="4"/>
      <c r="S49" s="5">
        <f>MAX(ROUND(37*(CY49/L49), 0),1)</f>
        <v>37</v>
      </c>
      <c r="T49" s="5"/>
      <c r="U49" s="5"/>
      <c r="V49" s="5"/>
      <c r="W49" s="4"/>
      <c r="X49" s="5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2">
        <v>37</v>
      </c>
      <c r="CZ49" s="2">
        <f t="shared" si="3"/>
        <v>37</v>
      </c>
      <c r="DA49" s="9">
        <v>17.07</v>
      </c>
      <c r="DB49" s="9">
        <v>35</v>
      </c>
    </row>
    <row r="50" spans="1:106" ht="60" customHeight="1">
      <c r="A50" s="2" t="s">
        <v>1</v>
      </c>
      <c r="B50" s="2" t="s">
        <v>6</v>
      </c>
      <c r="C50" s="2" t="s">
        <v>3</v>
      </c>
      <c r="D50" s="2"/>
      <c r="E50" s="2" t="s">
        <v>90</v>
      </c>
      <c r="F50" s="2" t="s">
        <v>22</v>
      </c>
      <c r="G50" s="2">
        <v>10</v>
      </c>
      <c r="H50" s="2" t="s">
        <v>4</v>
      </c>
      <c r="I50" s="2" t="s">
        <v>86</v>
      </c>
      <c r="J50" s="2" t="s">
        <v>414</v>
      </c>
      <c r="K50" s="2">
        <v>7601947</v>
      </c>
      <c r="L50" s="3">
        <v>163</v>
      </c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5"/>
      <c r="CO50" s="4"/>
      <c r="CP50" s="5"/>
      <c r="CQ50" s="4"/>
      <c r="CR50" s="5"/>
      <c r="CS50" s="4"/>
      <c r="CT50" s="4"/>
      <c r="CU50" s="5">
        <f>MAX(ROUND(65*(CY50/L50), 0),1)</f>
        <v>65</v>
      </c>
      <c r="CV50" s="5">
        <f>MAX(ROUND(98*(CY50/L50), 0),1)</f>
        <v>98</v>
      </c>
      <c r="CW50" s="4"/>
      <c r="CX50" s="4"/>
      <c r="CY50" s="2">
        <v>163</v>
      </c>
      <c r="CZ50" s="2">
        <f t="shared" si="3"/>
        <v>163</v>
      </c>
      <c r="DA50" s="9">
        <v>19.510000000000002</v>
      </c>
      <c r="DB50" s="9">
        <v>40</v>
      </c>
    </row>
    <row r="51" spans="1:106" ht="60" customHeight="1">
      <c r="A51" s="2" t="s">
        <v>1</v>
      </c>
      <c r="B51" s="2" t="s">
        <v>6</v>
      </c>
      <c r="C51" s="2" t="s">
        <v>3</v>
      </c>
      <c r="D51" s="2"/>
      <c r="E51" s="2" t="s">
        <v>90</v>
      </c>
      <c r="F51" s="2" t="s">
        <v>12</v>
      </c>
      <c r="G51" s="2">
        <v>8</v>
      </c>
      <c r="H51" s="2" t="s">
        <v>4</v>
      </c>
      <c r="I51" s="2" t="s">
        <v>86</v>
      </c>
      <c r="J51" s="2" t="s">
        <v>414</v>
      </c>
      <c r="K51" s="2">
        <v>7601949</v>
      </c>
      <c r="L51" s="3">
        <v>115</v>
      </c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5"/>
      <c r="CO51" s="4"/>
      <c r="CP51" s="5"/>
      <c r="CQ51" s="4"/>
      <c r="CR51" s="5"/>
      <c r="CS51" s="4"/>
      <c r="CT51" s="4"/>
      <c r="CU51" s="5">
        <f>MAX(ROUND(45*(CY51/L51), 0),1)</f>
        <v>45</v>
      </c>
      <c r="CV51" s="5">
        <f>MAX(ROUND(70*(CY51/L51), 0),1)</f>
        <v>70</v>
      </c>
      <c r="CW51" s="4"/>
      <c r="CX51" s="4"/>
      <c r="CY51" s="2">
        <v>115</v>
      </c>
      <c r="CZ51" s="2">
        <f t="shared" si="3"/>
        <v>115</v>
      </c>
      <c r="DA51" s="9">
        <v>19.510000000000002</v>
      </c>
      <c r="DB51" s="9">
        <v>40</v>
      </c>
    </row>
    <row r="52" spans="1:106" ht="60" customHeight="1">
      <c r="A52" s="2" t="s">
        <v>1</v>
      </c>
      <c r="B52" s="2" t="s">
        <v>2</v>
      </c>
      <c r="C52" s="2" t="s">
        <v>3</v>
      </c>
      <c r="D52" s="2"/>
      <c r="E52" s="2" t="s">
        <v>91</v>
      </c>
      <c r="F52" s="2" t="s">
        <v>22</v>
      </c>
      <c r="G52" s="2">
        <v>10</v>
      </c>
      <c r="H52" s="2" t="s">
        <v>4</v>
      </c>
      <c r="I52" s="2" t="s">
        <v>86</v>
      </c>
      <c r="J52" s="2" t="s">
        <v>414</v>
      </c>
      <c r="K52" s="2">
        <v>7601950</v>
      </c>
      <c r="L52" s="3">
        <v>14</v>
      </c>
      <c r="M52" s="4"/>
      <c r="N52" s="4"/>
      <c r="O52" s="4"/>
      <c r="P52" s="4"/>
      <c r="Q52" s="4"/>
      <c r="R52" s="4"/>
      <c r="S52" s="5">
        <f>MAX(ROUND(14*(CY52/L52), 0),1)</f>
        <v>14</v>
      </c>
      <c r="T52" s="5"/>
      <c r="U52" s="5"/>
      <c r="V52" s="5"/>
      <c r="W52" s="4"/>
      <c r="X52" s="5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2">
        <v>14</v>
      </c>
      <c r="CZ52" s="2">
        <f t="shared" si="3"/>
        <v>14</v>
      </c>
      <c r="DA52" s="9">
        <v>21.95</v>
      </c>
      <c r="DB52" s="9">
        <v>45</v>
      </c>
    </row>
    <row r="53" spans="1:106" ht="60" customHeight="1">
      <c r="A53" s="2" t="s">
        <v>1</v>
      </c>
      <c r="B53" s="2" t="s">
        <v>2</v>
      </c>
      <c r="C53" s="2" t="s">
        <v>3</v>
      </c>
      <c r="D53" s="2"/>
      <c r="E53" s="2" t="s">
        <v>91</v>
      </c>
      <c r="F53" s="2" t="s">
        <v>12</v>
      </c>
      <c r="G53" s="2">
        <v>8</v>
      </c>
      <c r="H53" s="2" t="s">
        <v>4</v>
      </c>
      <c r="I53" s="2" t="s">
        <v>86</v>
      </c>
      <c r="J53" s="2" t="s">
        <v>414</v>
      </c>
      <c r="K53" s="2">
        <v>7601953</v>
      </c>
      <c r="L53" s="3">
        <v>17</v>
      </c>
      <c r="M53" s="4"/>
      <c r="N53" s="4"/>
      <c r="O53" s="4"/>
      <c r="P53" s="4"/>
      <c r="Q53" s="4"/>
      <c r="R53" s="4"/>
      <c r="S53" s="5">
        <f>MAX(ROUND(3*(CY53/L53), 0),1)</f>
        <v>3</v>
      </c>
      <c r="T53" s="5"/>
      <c r="U53" s="5"/>
      <c r="V53" s="5"/>
      <c r="W53" s="4"/>
      <c r="X53" s="5">
        <f>MAX(ROUND(14*(CY53/L53), 0),1)</f>
        <v>14</v>
      </c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2">
        <v>17</v>
      </c>
      <c r="CZ53" s="2">
        <f t="shared" si="3"/>
        <v>17</v>
      </c>
      <c r="DA53" s="9">
        <v>21.95</v>
      </c>
      <c r="DB53" s="9">
        <v>45</v>
      </c>
    </row>
    <row r="54" spans="1:106" ht="60" customHeight="1">
      <c r="A54" s="2" t="s">
        <v>1</v>
      </c>
      <c r="B54" s="2" t="s">
        <v>6</v>
      </c>
      <c r="C54" s="2" t="s">
        <v>3</v>
      </c>
      <c r="D54" s="2"/>
      <c r="E54" s="2" t="s">
        <v>92</v>
      </c>
      <c r="F54" s="2" t="s">
        <v>93</v>
      </c>
      <c r="G54" s="2">
        <v>10</v>
      </c>
      <c r="H54" s="2" t="s">
        <v>4</v>
      </c>
      <c r="I54" s="2" t="s">
        <v>10</v>
      </c>
      <c r="J54" s="2" t="s">
        <v>414</v>
      </c>
      <c r="K54" s="2">
        <v>7601962</v>
      </c>
      <c r="L54" s="3">
        <v>765</v>
      </c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5">
        <f>MAX(ROUND(16*(CY54/L54), 0),1)</f>
        <v>16</v>
      </c>
      <c r="CM54" s="5">
        <f>MAX(ROUND(35*(CY54/L54), 0),1)</f>
        <v>35</v>
      </c>
      <c r="CN54" s="5">
        <f>MAX(ROUND(81*(CY54/L54), 0),1)</f>
        <v>81</v>
      </c>
      <c r="CO54" s="4"/>
      <c r="CP54" s="5">
        <f>MAX(ROUND(131*(CY54/L54), 0),1)</f>
        <v>131</v>
      </c>
      <c r="CQ54" s="4"/>
      <c r="CR54" s="5">
        <f>MAX(ROUND(213*(CY54/L54), 0),1)</f>
        <v>213</v>
      </c>
      <c r="CS54" s="4"/>
      <c r="CT54" s="4"/>
      <c r="CU54" s="5">
        <f>MAX(ROUND(227*(CY54/L54), 0),1)</f>
        <v>227</v>
      </c>
      <c r="CV54" s="5">
        <f>MAX(ROUND(62*(CY54/L54), 0),1)</f>
        <v>62</v>
      </c>
      <c r="CW54" s="4"/>
      <c r="CX54" s="4"/>
      <c r="CY54" s="2">
        <v>765</v>
      </c>
      <c r="CZ54" s="2">
        <f t="shared" si="3"/>
        <v>765</v>
      </c>
      <c r="DA54" s="9">
        <v>12.19</v>
      </c>
      <c r="DB54" s="9">
        <v>24.99</v>
      </c>
    </row>
    <row r="55" spans="1:106" ht="60" customHeight="1">
      <c r="A55" s="2" t="s">
        <v>1</v>
      </c>
      <c r="B55" s="2" t="s">
        <v>6</v>
      </c>
      <c r="C55" s="2" t="s">
        <v>7</v>
      </c>
      <c r="D55" s="2"/>
      <c r="E55" s="2" t="s">
        <v>96</v>
      </c>
      <c r="F55" s="2" t="s">
        <v>97</v>
      </c>
      <c r="G55" s="2">
        <v>4</v>
      </c>
      <c r="H55" s="2" t="s">
        <v>7</v>
      </c>
      <c r="I55" s="2" t="s">
        <v>17</v>
      </c>
      <c r="J55" s="2" t="s">
        <v>406</v>
      </c>
      <c r="K55" s="2">
        <v>7602944</v>
      </c>
      <c r="L55" s="3">
        <v>47</v>
      </c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5">
        <f>MAX(ROUND(1*(CY55/L55), 0),1)</f>
        <v>1</v>
      </c>
      <c r="CO55" s="4"/>
      <c r="CP55" s="5">
        <f>MAX(ROUND(15*(CY55/L55), 0),1)</f>
        <v>15</v>
      </c>
      <c r="CQ55" s="4"/>
      <c r="CR55" s="5">
        <f>MAX(ROUND(30*(CY55/L55), 0),1)</f>
        <v>30</v>
      </c>
      <c r="CS55" s="4"/>
      <c r="CT55" s="4"/>
      <c r="CU55" s="5">
        <f>MAX(ROUND(1*(CY55/L55), 0),1)</f>
        <v>1</v>
      </c>
      <c r="CV55" s="4"/>
      <c r="CW55" s="4"/>
      <c r="CX55" s="4"/>
      <c r="CY55" s="2">
        <v>47</v>
      </c>
      <c r="CZ55" s="2">
        <f t="shared" si="3"/>
        <v>47</v>
      </c>
      <c r="DA55" s="9">
        <v>27.5</v>
      </c>
      <c r="DB55" s="9">
        <v>50</v>
      </c>
    </row>
    <row r="56" spans="1:106" ht="60" customHeight="1">
      <c r="A56" s="2" t="s">
        <v>1</v>
      </c>
      <c r="B56" s="2" t="s">
        <v>6</v>
      </c>
      <c r="C56" s="2" t="s">
        <v>7</v>
      </c>
      <c r="D56" s="2"/>
      <c r="E56" s="2" t="s">
        <v>96</v>
      </c>
      <c r="F56" s="2" t="s">
        <v>43</v>
      </c>
      <c r="G56" s="2">
        <v>5</v>
      </c>
      <c r="H56" s="2" t="s">
        <v>7</v>
      </c>
      <c r="I56" s="2" t="s">
        <v>17</v>
      </c>
      <c r="J56" s="2" t="s">
        <v>406</v>
      </c>
      <c r="K56" s="2">
        <v>7602945</v>
      </c>
      <c r="L56" s="3">
        <v>211</v>
      </c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5">
        <f>MAX(ROUND(40*(CY56/L56), 0),1)</f>
        <v>40</v>
      </c>
      <c r="CO56" s="4"/>
      <c r="CP56" s="5">
        <f>MAX(ROUND(43*(CY56/L56), 0),1)</f>
        <v>43</v>
      </c>
      <c r="CQ56" s="4"/>
      <c r="CR56" s="5">
        <f>MAX(ROUND(73*(CY56/L56), 0),1)</f>
        <v>73</v>
      </c>
      <c r="CS56" s="4"/>
      <c r="CT56" s="4"/>
      <c r="CU56" s="5">
        <f>MAX(ROUND(55*(CY56/L56), 0),1)</f>
        <v>55</v>
      </c>
      <c r="CV56" s="4"/>
      <c r="CW56" s="4"/>
      <c r="CX56" s="4"/>
      <c r="CY56" s="2">
        <v>211</v>
      </c>
      <c r="CZ56" s="2">
        <f t="shared" si="3"/>
        <v>211</v>
      </c>
      <c r="DA56" s="9">
        <v>27.5</v>
      </c>
      <c r="DB56" s="9">
        <v>50</v>
      </c>
    </row>
    <row r="57" spans="1:106" ht="60" customHeight="1">
      <c r="A57" s="2" t="s">
        <v>1</v>
      </c>
      <c r="B57" s="2" t="s">
        <v>2</v>
      </c>
      <c r="C57" s="2" t="s">
        <v>3</v>
      </c>
      <c r="D57" s="2"/>
      <c r="E57" s="2" t="s">
        <v>99</v>
      </c>
      <c r="F57" s="2" t="s">
        <v>98</v>
      </c>
      <c r="G57" s="2">
        <v>4</v>
      </c>
      <c r="H57" s="2" t="s">
        <v>4</v>
      </c>
      <c r="I57" s="2" t="s">
        <v>10</v>
      </c>
      <c r="J57" s="2" t="s">
        <v>413</v>
      </c>
      <c r="K57" s="2">
        <v>7603444</v>
      </c>
      <c r="L57" s="3">
        <v>89</v>
      </c>
      <c r="M57" s="4"/>
      <c r="N57" s="4"/>
      <c r="O57" s="4"/>
      <c r="P57" s="4"/>
      <c r="Q57" s="4"/>
      <c r="R57" s="4"/>
      <c r="S57" s="5">
        <f>MAX(ROUND(14*(CY57/L57), 0),1)</f>
        <v>14</v>
      </c>
      <c r="T57" s="5">
        <f>MAX(ROUND(15*(CY57/L57), 0),1)</f>
        <v>15</v>
      </c>
      <c r="U57" s="5">
        <f>MAX(ROUND(19*(CY57/L57), 0),1)</f>
        <v>19</v>
      </c>
      <c r="V57" s="5">
        <f>MAX(ROUND(21*(CY57/L57), 0),1)</f>
        <v>21</v>
      </c>
      <c r="W57" s="4"/>
      <c r="X57" s="5">
        <f>MAX(ROUND(20*(CY57/L57), 0),1)</f>
        <v>20</v>
      </c>
      <c r="Y57" s="5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2">
        <v>89</v>
      </c>
      <c r="CZ57" s="2">
        <f t="shared" ref="CZ57:CZ66" si="4">SUM(M57:CX57)</f>
        <v>89</v>
      </c>
      <c r="DA57" s="9">
        <v>11.21</v>
      </c>
      <c r="DB57" s="9">
        <v>22.99</v>
      </c>
    </row>
    <row r="58" spans="1:106" ht="60" customHeight="1">
      <c r="A58" s="2" t="s">
        <v>1</v>
      </c>
      <c r="B58" s="2" t="s">
        <v>2</v>
      </c>
      <c r="C58" s="2" t="s">
        <v>3</v>
      </c>
      <c r="D58" s="2"/>
      <c r="E58" s="2" t="s">
        <v>99</v>
      </c>
      <c r="F58" s="2" t="s">
        <v>100</v>
      </c>
      <c r="G58" s="2">
        <v>122</v>
      </c>
      <c r="H58" s="2" t="s">
        <v>4</v>
      </c>
      <c r="I58" s="2" t="s">
        <v>10</v>
      </c>
      <c r="J58" s="2" t="s">
        <v>413</v>
      </c>
      <c r="K58" s="2">
        <v>7603449</v>
      </c>
      <c r="L58" s="3">
        <v>190</v>
      </c>
      <c r="M58" s="4"/>
      <c r="N58" s="4"/>
      <c r="O58" s="4"/>
      <c r="P58" s="4"/>
      <c r="Q58" s="4"/>
      <c r="R58" s="4"/>
      <c r="S58" s="5">
        <f>MAX(ROUND(7*(CY58/L58), 0),1)</f>
        <v>7</v>
      </c>
      <c r="T58" s="5">
        <f>MAX(ROUND(33*(CY58/L58), 0),1)</f>
        <v>33</v>
      </c>
      <c r="U58" s="5">
        <f>MAX(ROUND(57*(CY58/L58), 0),1)</f>
        <v>57</v>
      </c>
      <c r="V58" s="5">
        <f>MAX(ROUND(49*(CY58/L58), 0),1)</f>
        <v>49</v>
      </c>
      <c r="W58" s="4"/>
      <c r="X58" s="5">
        <f>MAX(ROUND(39*(CY58/L58), 0),1)</f>
        <v>39</v>
      </c>
      <c r="Y58" s="5">
        <f>MAX(ROUND(5*(CY58/L58), 0),1)</f>
        <v>5</v>
      </c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2">
        <v>190</v>
      </c>
      <c r="CZ58" s="2">
        <f t="shared" si="4"/>
        <v>190</v>
      </c>
      <c r="DA58" s="9">
        <v>11.21</v>
      </c>
      <c r="DB58" s="9">
        <v>22.99</v>
      </c>
    </row>
    <row r="59" spans="1:106" ht="60" customHeight="1">
      <c r="A59" s="2" t="s">
        <v>1</v>
      </c>
      <c r="B59" s="2" t="s">
        <v>2</v>
      </c>
      <c r="C59" s="2" t="s">
        <v>3</v>
      </c>
      <c r="D59" s="2"/>
      <c r="E59" s="2" t="s">
        <v>101</v>
      </c>
      <c r="F59" s="2" t="s">
        <v>102</v>
      </c>
      <c r="G59" s="2">
        <v>20</v>
      </c>
      <c r="H59" s="2" t="s">
        <v>4</v>
      </c>
      <c r="I59" s="2" t="s">
        <v>10</v>
      </c>
      <c r="J59" s="2" t="s">
        <v>409</v>
      </c>
      <c r="K59" s="2">
        <v>7603586</v>
      </c>
      <c r="L59" s="3">
        <v>31</v>
      </c>
      <c r="M59" s="4"/>
      <c r="N59" s="4"/>
      <c r="O59" s="4"/>
      <c r="P59" s="4"/>
      <c r="Q59" s="4"/>
      <c r="R59" s="4"/>
      <c r="S59" s="5">
        <f>MAX(ROUND(14*(CY59/L59), 0),1)</f>
        <v>14</v>
      </c>
      <c r="T59" s="5">
        <f>MAX(ROUND(8*(CY59/L59), 0),1)</f>
        <v>8</v>
      </c>
      <c r="U59" s="5">
        <f>MAX(ROUND(7*(CY59/L59), 0),1)</f>
        <v>7</v>
      </c>
      <c r="V59" s="5">
        <f>MAX(ROUND(1*(CY59/L59), 0),1)</f>
        <v>1</v>
      </c>
      <c r="W59" s="4"/>
      <c r="X59" s="5">
        <f>MAX(ROUND(1*(CY59/L59), 0),1)</f>
        <v>1</v>
      </c>
      <c r="Y59" s="5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2">
        <v>31</v>
      </c>
      <c r="CZ59" s="2">
        <f t="shared" si="4"/>
        <v>31</v>
      </c>
      <c r="DA59" s="9">
        <v>21.95</v>
      </c>
      <c r="DB59" s="9">
        <v>44.99</v>
      </c>
    </row>
    <row r="60" spans="1:106" ht="60" customHeight="1">
      <c r="A60" s="2" t="s">
        <v>1</v>
      </c>
      <c r="B60" s="2" t="s">
        <v>104</v>
      </c>
      <c r="C60" s="2" t="s">
        <v>3</v>
      </c>
      <c r="D60" s="2"/>
      <c r="E60" s="2" t="s">
        <v>105</v>
      </c>
      <c r="F60" s="2" t="s">
        <v>98</v>
      </c>
      <c r="G60" s="2">
        <v>4</v>
      </c>
      <c r="H60" s="2" t="s">
        <v>4</v>
      </c>
      <c r="I60" s="2" t="s">
        <v>106</v>
      </c>
      <c r="J60" s="2" t="s">
        <v>404</v>
      </c>
      <c r="K60" s="2">
        <v>7604294</v>
      </c>
      <c r="L60" s="3">
        <v>136</v>
      </c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5">
        <f>MAX(ROUND(27*(CY60/L60), 0),1)</f>
        <v>27</v>
      </c>
      <c r="CF60" s="5">
        <f>MAX(ROUND(61*(CY60/L60), 0),1)</f>
        <v>61</v>
      </c>
      <c r="CG60" s="5">
        <f>MAX(ROUND(33*(CY60/L60), 0),1)</f>
        <v>33</v>
      </c>
      <c r="CH60" s="5">
        <f>MAX(ROUND(15*(CY60/L60), 0),1)</f>
        <v>15</v>
      </c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2">
        <v>136</v>
      </c>
      <c r="CZ60" s="2">
        <f t="shared" si="4"/>
        <v>136</v>
      </c>
      <c r="DA60" s="9">
        <v>6.34</v>
      </c>
      <c r="DB60" s="9">
        <v>12.99</v>
      </c>
    </row>
    <row r="61" spans="1:106" ht="60" customHeight="1">
      <c r="A61" s="2" t="s">
        <v>1</v>
      </c>
      <c r="B61" s="2" t="s">
        <v>104</v>
      </c>
      <c r="C61" s="2" t="s">
        <v>3</v>
      </c>
      <c r="D61" s="2"/>
      <c r="E61" s="2" t="s">
        <v>105</v>
      </c>
      <c r="F61" s="2" t="s">
        <v>107</v>
      </c>
      <c r="G61" s="2">
        <v>52</v>
      </c>
      <c r="H61" s="2" t="s">
        <v>4</v>
      </c>
      <c r="I61" s="2" t="s">
        <v>106</v>
      </c>
      <c r="J61" s="2" t="s">
        <v>404</v>
      </c>
      <c r="K61" s="2">
        <v>7604295</v>
      </c>
      <c r="L61" s="3">
        <v>13</v>
      </c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5"/>
      <c r="CF61" s="5">
        <f>MAX(ROUND(13*(CY61/L61), 0),1)</f>
        <v>13</v>
      </c>
      <c r="CG61" s="5"/>
      <c r="CH61" s="5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2">
        <v>13</v>
      </c>
      <c r="CZ61" s="2">
        <f t="shared" si="4"/>
        <v>13</v>
      </c>
      <c r="DA61" s="9">
        <v>6.34</v>
      </c>
      <c r="DB61" s="9">
        <v>12.99</v>
      </c>
    </row>
    <row r="62" spans="1:106" ht="60" customHeight="1">
      <c r="A62" s="2" t="s">
        <v>1</v>
      </c>
      <c r="B62" s="2" t="s">
        <v>104</v>
      </c>
      <c r="C62" s="2" t="s">
        <v>3</v>
      </c>
      <c r="D62" s="2"/>
      <c r="E62" s="2" t="s">
        <v>108</v>
      </c>
      <c r="F62" s="2" t="s">
        <v>107</v>
      </c>
      <c r="G62" s="2">
        <v>52</v>
      </c>
      <c r="H62" s="2" t="s">
        <v>4</v>
      </c>
      <c r="I62" s="2" t="s">
        <v>106</v>
      </c>
      <c r="J62" s="2" t="s">
        <v>417</v>
      </c>
      <c r="K62" s="2">
        <v>7604308</v>
      </c>
      <c r="L62" s="3">
        <v>230</v>
      </c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5">
        <f>MAX(ROUND(37*(CY62/L62), 0),1)</f>
        <v>37</v>
      </c>
      <c r="CF62" s="5">
        <f>MAX(ROUND(20*(CY62/L62), 0),1)</f>
        <v>20</v>
      </c>
      <c r="CG62" s="5">
        <f>MAX(ROUND(50*(CY62/L62), 0),1)</f>
        <v>50</v>
      </c>
      <c r="CH62" s="5">
        <f>MAX(ROUND(123*(CY62/L62), 0),1)</f>
        <v>123</v>
      </c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2">
        <v>230</v>
      </c>
      <c r="CZ62" s="2">
        <f t="shared" si="4"/>
        <v>230</v>
      </c>
      <c r="DA62" s="9">
        <v>13</v>
      </c>
      <c r="DB62" s="9">
        <v>25.99</v>
      </c>
    </row>
    <row r="63" spans="1:106" ht="60" customHeight="1">
      <c r="A63" s="2" t="s">
        <v>1</v>
      </c>
      <c r="B63" s="2" t="s">
        <v>104</v>
      </c>
      <c r="C63" s="2" t="s">
        <v>3</v>
      </c>
      <c r="D63" s="2"/>
      <c r="E63" s="2" t="s">
        <v>108</v>
      </c>
      <c r="F63" s="2" t="s">
        <v>110</v>
      </c>
      <c r="G63" s="2">
        <v>51</v>
      </c>
      <c r="H63" s="2" t="s">
        <v>4</v>
      </c>
      <c r="I63" s="2" t="s">
        <v>106</v>
      </c>
      <c r="J63" s="2" t="s">
        <v>417</v>
      </c>
      <c r="K63" s="2">
        <v>7604310</v>
      </c>
      <c r="L63" s="3">
        <v>292</v>
      </c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5">
        <f>MAX(ROUND(42*(CY63/L63), 0),1)</f>
        <v>42</v>
      </c>
      <c r="CF63" s="5">
        <f>MAX(ROUND(68*(CY63/L63), 0),1)</f>
        <v>68</v>
      </c>
      <c r="CG63" s="5">
        <f>MAX(ROUND(87*(CY63/L63), 0),1)</f>
        <v>87</v>
      </c>
      <c r="CH63" s="5">
        <f>MAX(ROUND(95*(CY63/L63), 0),1)</f>
        <v>95</v>
      </c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2">
        <v>292</v>
      </c>
      <c r="CZ63" s="2">
        <f t="shared" si="4"/>
        <v>292</v>
      </c>
      <c r="DA63" s="9">
        <v>13</v>
      </c>
      <c r="DB63" s="9">
        <v>25.99</v>
      </c>
    </row>
    <row r="64" spans="1:106" ht="60" customHeight="1">
      <c r="A64" s="2" t="s">
        <v>1</v>
      </c>
      <c r="B64" s="2" t="s">
        <v>109</v>
      </c>
      <c r="C64" s="2" t="s">
        <v>3</v>
      </c>
      <c r="D64" s="2"/>
      <c r="E64" s="2" t="s">
        <v>108</v>
      </c>
      <c r="F64" s="2" t="s">
        <v>110</v>
      </c>
      <c r="G64" s="2">
        <v>51</v>
      </c>
      <c r="H64" s="2" t="s">
        <v>4</v>
      </c>
      <c r="I64" s="2" t="s">
        <v>106</v>
      </c>
      <c r="J64" s="2" t="s">
        <v>417</v>
      </c>
      <c r="K64" s="2">
        <v>7604311</v>
      </c>
      <c r="L64" s="3">
        <v>22</v>
      </c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5">
        <f>MAX(ROUND(22*(CY64/L64), 0),1)</f>
        <v>22</v>
      </c>
      <c r="CJ64" s="5"/>
      <c r="CK64" s="5"/>
      <c r="CL64" s="5"/>
      <c r="CM64" s="5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2">
        <v>22</v>
      </c>
      <c r="CZ64" s="2">
        <f t="shared" si="4"/>
        <v>22</v>
      </c>
      <c r="DA64" s="9">
        <v>13</v>
      </c>
      <c r="DB64" s="9">
        <v>25.99</v>
      </c>
    </row>
    <row r="65" spans="1:106" ht="60" customHeight="1">
      <c r="A65" s="2" t="s">
        <v>1</v>
      </c>
      <c r="B65" s="2" t="s">
        <v>6</v>
      </c>
      <c r="C65" s="2" t="s">
        <v>7</v>
      </c>
      <c r="D65" s="2"/>
      <c r="E65" s="2" t="s">
        <v>112</v>
      </c>
      <c r="F65" s="2" t="s">
        <v>113</v>
      </c>
      <c r="G65" s="2">
        <v>3</v>
      </c>
      <c r="H65" s="2" t="s">
        <v>7</v>
      </c>
      <c r="I65" s="2" t="s">
        <v>17</v>
      </c>
      <c r="J65" s="2" t="s">
        <v>404</v>
      </c>
      <c r="K65" s="2">
        <v>7607229</v>
      </c>
      <c r="L65" s="3">
        <v>301</v>
      </c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5">
        <f>MAX(ROUND(7*(CY65/L65), 0),1)</f>
        <v>7</v>
      </c>
      <c r="CM65" s="4"/>
      <c r="CN65" s="5">
        <f>MAX(ROUND(108*(CY65/L65), 0),1)</f>
        <v>108</v>
      </c>
      <c r="CO65" s="4"/>
      <c r="CP65" s="5"/>
      <c r="CQ65" s="4"/>
      <c r="CR65" s="5">
        <f>MAX(ROUND(87*(CY65/L65), 0),1)</f>
        <v>87</v>
      </c>
      <c r="CS65" s="4"/>
      <c r="CT65" s="4"/>
      <c r="CU65" s="5">
        <f>MAX(ROUND(99*(CY65/L65), 0),1)</f>
        <v>99</v>
      </c>
      <c r="CV65" s="4"/>
      <c r="CW65" s="4"/>
      <c r="CX65" s="4"/>
      <c r="CY65" s="2">
        <v>301</v>
      </c>
      <c r="CZ65" s="2">
        <f t="shared" si="4"/>
        <v>301</v>
      </c>
      <c r="DA65" s="9">
        <v>7</v>
      </c>
      <c r="DB65" s="9">
        <v>14</v>
      </c>
    </row>
    <row r="66" spans="1:106" ht="60" customHeight="1">
      <c r="A66" s="2" t="s">
        <v>1</v>
      </c>
      <c r="B66" s="2" t="s">
        <v>6</v>
      </c>
      <c r="C66" s="2" t="s">
        <v>7</v>
      </c>
      <c r="D66" s="2"/>
      <c r="E66" s="2" t="s">
        <v>112</v>
      </c>
      <c r="F66" s="2" t="s">
        <v>33</v>
      </c>
      <c r="G66" s="2">
        <v>8</v>
      </c>
      <c r="H66" s="2" t="s">
        <v>7</v>
      </c>
      <c r="I66" s="2" t="s">
        <v>17</v>
      </c>
      <c r="J66" s="2" t="s">
        <v>404</v>
      </c>
      <c r="K66" s="2">
        <v>7607230</v>
      </c>
      <c r="L66" s="3">
        <v>336</v>
      </c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5">
        <f>MAX(ROUND(44*(CY66/L66), 0),1)</f>
        <v>44</v>
      </c>
      <c r="CM66" s="4"/>
      <c r="CN66" s="5">
        <f>MAX(ROUND(97*(CY66/L66), 0),1)</f>
        <v>97</v>
      </c>
      <c r="CO66" s="4"/>
      <c r="CP66" s="5">
        <f>MAX(ROUND(118*(CY66/L66), 0),1)</f>
        <v>118</v>
      </c>
      <c r="CQ66" s="4"/>
      <c r="CR66" s="5">
        <f>MAX(ROUND(76*(CY66/L66), 0),1)</f>
        <v>76</v>
      </c>
      <c r="CS66" s="4"/>
      <c r="CT66" s="4"/>
      <c r="CU66" s="5">
        <f>MAX(ROUND(1*(CY66/L66), 0),1)</f>
        <v>1</v>
      </c>
      <c r="CV66" s="4"/>
      <c r="CW66" s="4"/>
      <c r="CX66" s="4"/>
      <c r="CY66" s="2">
        <v>336</v>
      </c>
      <c r="CZ66" s="2">
        <f t="shared" si="4"/>
        <v>336</v>
      </c>
      <c r="DA66" s="9">
        <v>7</v>
      </c>
      <c r="DB66" s="9">
        <v>14</v>
      </c>
    </row>
    <row r="67" spans="1:106" ht="60" customHeight="1">
      <c r="A67" s="2" t="s">
        <v>1</v>
      </c>
      <c r="B67" s="2" t="s">
        <v>2</v>
      </c>
      <c r="C67" s="2" t="s">
        <v>3</v>
      </c>
      <c r="D67" s="2"/>
      <c r="E67" s="2" t="s">
        <v>99</v>
      </c>
      <c r="F67" s="2" t="s">
        <v>118</v>
      </c>
      <c r="G67" s="2">
        <v>53</v>
      </c>
      <c r="H67" s="2" t="s">
        <v>4</v>
      </c>
      <c r="I67" s="2" t="s">
        <v>10</v>
      </c>
      <c r="J67" s="2" t="s">
        <v>413</v>
      </c>
      <c r="K67" s="2">
        <v>11856037</v>
      </c>
      <c r="L67" s="3">
        <v>18</v>
      </c>
      <c r="M67" s="4"/>
      <c r="N67" s="4"/>
      <c r="O67" s="4"/>
      <c r="P67" s="4"/>
      <c r="Q67" s="4"/>
      <c r="R67" s="4"/>
      <c r="S67" s="5">
        <f>MAX(ROUND(18*(CY67/L67), 0),1)</f>
        <v>18</v>
      </c>
      <c r="T67" s="5"/>
      <c r="U67" s="5"/>
      <c r="V67" s="5"/>
      <c r="W67" s="4"/>
      <c r="X67" s="5"/>
      <c r="Y67" s="5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2">
        <v>18</v>
      </c>
      <c r="CZ67" s="2">
        <f t="shared" ref="CZ67:CZ87" si="5">SUM(M67:CX67)</f>
        <v>18</v>
      </c>
      <c r="DA67" s="9">
        <v>11.21</v>
      </c>
      <c r="DB67" s="9">
        <v>22.99</v>
      </c>
    </row>
    <row r="68" spans="1:106" ht="60" customHeight="1">
      <c r="A68" s="2" t="s">
        <v>1</v>
      </c>
      <c r="B68" s="2" t="s">
        <v>2</v>
      </c>
      <c r="C68" s="2" t="s">
        <v>3</v>
      </c>
      <c r="D68" s="2"/>
      <c r="E68" s="2" t="s">
        <v>120</v>
      </c>
      <c r="F68" s="2" t="s">
        <v>12</v>
      </c>
      <c r="G68" s="2">
        <v>8</v>
      </c>
      <c r="H68" s="2" t="s">
        <v>4</v>
      </c>
      <c r="I68" s="2" t="s">
        <v>10</v>
      </c>
      <c r="J68" s="2" t="s">
        <v>414</v>
      </c>
      <c r="K68" s="2">
        <v>11863481</v>
      </c>
      <c r="L68" s="3">
        <v>240</v>
      </c>
      <c r="M68" s="4"/>
      <c r="N68" s="4"/>
      <c r="O68" s="4"/>
      <c r="P68" s="4"/>
      <c r="Q68" s="4"/>
      <c r="R68" s="4"/>
      <c r="S68" s="5">
        <f>MAX(ROUND(42*(CY68/L68), 0),1)</f>
        <v>42</v>
      </c>
      <c r="T68" s="5">
        <f>MAX(ROUND(64*(CY68/L68), 0),1)</f>
        <v>64</v>
      </c>
      <c r="U68" s="5">
        <f>MAX(ROUND(70*(CY68/L68), 0),1)</f>
        <v>70</v>
      </c>
      <c r="V68" s="5">
        <f>MAX(ROUND(56*(CY68/L68), 0),1)</f>
        <v>56</v>
      </c>
      <c r="W68" s="4"/>
      <c r="X68" s="5">
        <f>MAX(ROUND(8*(CY68/L68), 0),1)</f>
        <v>8</v>
      </c>
      <c r="Y68" s="5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2">
        <v>240</v>
      </c>
      <c r="CZ68" s="2">
        <f t="shared" si="5"/>
        <v>240</v>
      </c>
      <c r="DA68" s="9">
        <v>25.85</v>
      </c>
      <c r="DB68" s="9">
        <v>52.99</v>
      </c>
    </row>
    <row r="69" spans="1:106" ht="60" customHeight="1">
      <c r="A69" s="2" t="s">
        <v>1</v>
      </c>
      <c r="B69" s="2" t="s">
        <v>2</v>
      </c>
      <c r="C69" s="2" t="s">
        <v>3</v>
      </c>
      <c r="D69" s="2"/>
      <c r="E69" s="2" t="s">
        <v>120</v>
      </c>
      <c r="F69" s="2" t="s">
        <v>116</v>
      </c>
      <c r="G69" s="2">
        <v>121</v>
      </c>
      <c r="H69" s="2" t="s">
        <v>4</v>
      </c>
      <c r="I69" s="2" t="s">
        <v>10</v>
      </c>
      <c r="J69" s="2" t="s">
        <v>414</v>
      </c>
      <c r="K69" s="2">
        <v>11863482</v>
      </c>
      <c r="L69" s="3">
        <v>16</v>
      </c>
      <c r="M69" s="4"/>
      <c r="N69" s="4"/>
      <c r="O69" s="4"/>
      <c r="P69" s="4"/>
      <c r="Q69" s="4"/>
      <c r="R69" s="4"/>
      <c r="S69" s="5">
        <f>MAX(ROUND(16*(CY69/L69), 0),1)</f>
        <v>16</v>
      </c>
      <c r="T69" s="5"/>
      <c r="U69" s="5"/>
      <c r="V69" s="5"/>
      <c r="W69" s="4"/>
      <c r="X69" s="5"/>
      <c r="Y69" s="5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2">
        <v>16</v>
      </c>
      <c r="CZ69" s="2">
        <f t="shared" si="5"/>
        <v>16</v>
      </c>
      <c r="DA69" s="9">
        <v>25.85</v>
      </c>
      <c r="DB69" s="9">
        <v>52.99</v>
      </c>
    </row>
    <row r="70" spans="1:106" ht="60" customHeight="1">
      <c r="A70" s="2" t="s">
        <v>1</v>
      </c>
      <c r="B70" s="2" t="s">
        <v>6</v>
      </c>
      <c r="C70" s="2" t="s">
        <v>3</v>
      </c>
      <c r="D70" s="2"/>
      <c r="E70" s="2" t="s">
        <v>121</v>
      </c>
      <c r="F70" s="2" t="s">
        <v>122</v>
      </c>
      <c r="G70" s="2">
        <v>83</v>
      </c>
      <c r="H70" s="2" t="s">
        <v>4</v>
      </c>
      <c r="I70" s="2" t="s">
        <v>10</v>
      </c>
      <c r="J70" s="2" t="s">
        <v>404</v>
      </c>
      <c r="K70" s="2">
        <v>11863485</v>
      </c>
      <c r="L70" s="3">
        <v>1133</v>
      </c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5"/>
      <c r="CM70" s="5"/>
      <c r="CN70" s="5">
        <f>MAX(ROUND(408*(CY70/L70), 0),1)</f>
        <v>408</v>
      </c>
      <c r="CO70" s="4"/>
      <c r="CP70" s="5">
        <f>MAX(ROUND(434*(CY70/L70), 0),1)</f>
        <v>434</v>
      </c>
      <c r="CQ70" s="4"/>
      <c r="CR70" s="5">
        <f>MAX(ROUND(291*(CY70/L70), 0),1)</f>
        <v>291</v>
      </c>
      <c r="CS70" s="4"/>
      <c r="CT70" s="4"/>
      <c r="CU70" s="5"/>
      <c r="CV70" s="5"/>
      <c r="CW70" s="4"/>
      <c r="CX70" s="4"/>
      <c r="CY70" s="2">
        <v>1133</v>
      </c>
      <c r="CZ70" s="2">
        <f t="shared" si="5"/>
        <v>1133</v>
      </c>
      <c r="DA70" s="9">
        <v>7.31</v>
      </c>
      <c r="DB70" s="9">
        <v>14.99</v>
      </c>
    </row>
    <row r="71" spans="1:106" ht="60" customHeight="1">
      <c r="A71" s="2" t="s">
        <v>1</v>
      </c>
      <c r="B71" s="2" t="s">
        <v>6</v>
      </c>
      <c r="C71" s="2" t="s">
        <v>3</v>
      </c>
      <c r="D71" s="2"/>
      <c r="E71" s="2" t="s">
        <v>123</v>
      </c>
      <c r="F71" s="2" t="s">
        <v>12</v>
      </c>
      <c r="G71" s="2">
        <v>8</v>
      </c>
      <c r="H71" s="2" t="s">
        <v>4</v>
      </c>
      <c r="I71" s="2" t="s">
        <v>10</v>
      </c>
      <c r="J71" s="2" t="s">
        <v>409</v>
      </c>
      <c r="K71" s="2">
        <v>11863489</v>
      </c>
      <c r="L71" s="3">
        <v>19</v>
      </c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5">
        <f>MAX(ROUND(19*(CY71/L71), 0),1)</f>
        <v>19</v>
      </c>
      <c r="CM71" s="5"/>
      <c r="CN71" s="5"/>
      <c r="CO71" s="4"/>
      <c r="CP71" s="5"/>
      <c r="CQ71" s="4"/>
      <c r="CR71" s="5"/>
      <c r="CS71" s="4"/>
      <c r="CT71" s="4"/>
      <c r="CU71" s="5"/>
      <c r="CV71" s="5"/>
      <c r="CW71" s="4"/>
      <c r="CX71" s="4"/>
      <c r="CY71" s="2">
        <v>19</v>
      </c>
      <c r="CZ71" s="2">
        <f t="shared" si="5"/>
        <v>19</v>
      </c>
      <c r="DA71" s="9">
        <v>18.53</v>
      </c>
      <c r="DB71" s="9">
        <v>37.99</v>
      </c>
    </row>
    <row r="72" spans="1:106" ht="60" customHeight="1">
      <c r="A72" s="2" t="s">
        <v>1</v>
      </c>
      <c r="B72" s="2" t="s">
        <v>2</v>
      </c>
      <c r="C72" s="2" t="s">
        <v>81</v>
      </c>
      <c r="D72" s="2"/>
      <c r="E72" s="2" t="s">
        <v>124</v>
      </c>
      <c r="F72" s="2" t="s">
        <v>11</v>
      </c>
      <c r="G72" s="2">
        <v>3</v>
      </c>
      <c r="H72" s="2" t="s">
        <v>82</v>
      </c>
      <c r="I72" s="2" t="s">
        <v>83</v>
      </c>
      <c r="J72" s="2" t="s">
        <v>404</v>
      </c>
      <c r="K72" s="2">
        <v>11863554</v>
      </c>
      <c r="L72" s="3">
        <v>13</v>
      </c>
      <c r="M72" s="4"/>
      <c r="N72" s="4"/>
      <c r="O72" s="4"/>
      <c r="P72" s="4"/>
      <c r="Q72" s="4"/>
      <c r="R72" s="5">
        <f>MAX(ROUND(2*(CY72/L72), 0),1)</f>
        <v>2</v>
      </c>
      <c r="S72" s="5">
        <f>MAX(ROUND(3*(CY72/L72), 0),1)</f>
        <v>3</v>
      </c>
      <c r="T72" s="5">
        <f>MAX(ROUND(4*(CY72/L72), 0),1)</f>
        <v>4</v>
      </c>
      <c r="U72" s="5">
        <f>MAX(ROUND(2*(CY72/L72), 0),1)</f>
        <v>2</v>
      </c>
      <c r="V72" s="5">
        <f>MAX(ROUND(2*(CY72/L72), 0),1)</f>
        <v>2</v>
      </c>
      <c r="W72" s="4"/>
      <c r="X72" s="5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2">
        <v>13</v>
      </c>
      <c r="CZ72" s="2">
        <f t="shared" si="5"/>
        <v>13</v>
      </c>
      <c r="DA72" s="9">
        <v>15</v>
      </c>
      <c r="DB72" s="9">
        <v>30</v>
      </c>
    </row>
    <row r="73" spans="1:106" ht="60" customHeight="1">
      <c r="A73" s="2" t="s">
        <v>1</v>
      </c>
      <c r="B73" s="2" t="s">
        <v>2</v>
      </c>
      <c r="C73" s="2" t="s">
        <v>81</v>
      </c>
      <c r="D73" s="2"/>
      <c r="E73" s="2" t="s">
        <v>125</v>
      </c>
      <c r="F73" s="2" t="s">
        <v>12</v>
      </c>
      <c r="G73" s="2">
        <v>8</v>
      </c>
      <c r="H73" s="2" t="s">
        <v>82</v>
      </c>
      <c r="I73" s="2" t="s">
        <v>83</v>
      </c>
      <c r="J73" s="2" t="s">
        <v>409</v>
      </c>
      <c r="K73" s="2">
        <v>11863555</v>
      </c>
      <c r="L73" s="3">
        <v>35</v>
      </c>
      <c r="M73" s="4"/>
      <c r="N73" s="4"/>
      <c r="O73" s="4"/>
      <c r="P73" s="4"/>
      <c r="Q73" s="4"/>
      <c r="R73" s="5"/>
      <c r="S73" s="5">
        <f>MAX(ROUND(10*(CY73/L73), 0),1)</f>
        <v>10</v>
      </c>
      <c r="T73" s="5">
        <f>MAX(ROUND(11*(CY73/L73), 0),1)</f>
        <v>11</v>
      </c>
      <c r="U73" s="5">
        <f>MAX(ROUND(9*(CY73/L73), 0),1)</f>
        <v>9</v>
      </c>
      <c r="V73" s="5">
        <f>MAX(ROUND(5*(CY73/L73), 0),1)</f>
        <v>5</v>
      </c>
      <c r="W73" s="4"/>
      <c r="X73" s="5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2">
        <v>35</v>
      </c>
      <c r="CZ73" s="2">
        <f t="shared" si="5"/>
        <v>35</v>
      </c>
      <c r="DA73" s="9">
        <v>30</v>
      </c>
      <c r="DB73" s="9">
        <v>60</v>
      </c>
    </row>
    <row r="74" spans="1:106" ht="60" customHeight="1">
      <c r="A74" s="2" t="s">
        <v>1</v>
      </c>
      <c r="B74" s="2" t="s">
        <v>2</v>
      </c>
      <c r="C74" s="2" t="s">
        <v>3</v>
      </c>
      <c r="D74" s="2"/>
      <c r="E74" s="2" t="s">
        <v>130</v>
      </c>
      <c r="F74" s="2" t="s">
        <v>131</v>
      </c>
      <c r="G74" s="2">
        <v>11</v>
      </c>
      <c r="H74" s="2" t="s">
        <v>59</v>
      </c>
      <c r="I74" s="2" t="s">
        <v>59</v>
      </c>
      <c r="J74" s="2" t="s">
        <v>409</v>
      </c>
      <c r="K74" s="2">
        <v>13196992</v>
      </c>
      <c r="L74" s="3">
        <v>90</v>
      </c>
      <c r="M74" s="4"/>
      <c r="N74" s="4"/>
      <c r="O74" s="4"/>
      <c r="P74" s="4"/>
      <c r="Q74" s="4"/>
      <c r="R74" s="5">
        <f>MAX(ROUND(8*(CY74/L74), 0),1)</f>
        <v>8</v>
      </c>
      <c r="S74" s="5">
        <f>MAX(ROUND(31*(CY74/L74), 0),1)</f>
        <v>31</v>
      </c>
      <c r="T74" s="5">
        <f>MAX(ROUND(45*(CY74/L74), 0),1)</f>
        <v>45</v>
      </c>
      <c r="U74" s="5">
        <f>MAX(ROUND(6*(CY74/L74), 0),1)</f>
        <v>6</v>
      </c>
      <c r="V74" s="5"/>
      <c r="W74" s="4"/>
      <c r="X74" s="5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2">
        <v>90</v>
      </c>
      <c r="CZ74" s="2">
        <f t="shared" si="5"/>
        <v>90</v>
      </c>
      <c r="DA74" s="9">
        <v>30</v>
      </c>
      <c r="DB74" s="9">
        <v>75</v>
      </c>
    </row>
    <row r="75" spans="1:106" ht="60" customHeight="1">
      <c r="A75" s="2" t="s">
        <v>1</v>
      </c>
      <c r="B75" s="2" t="s">
        <v>2</v>
      </c>
      <c r="C75" s="2" t="s">
        <v>3</v>
      </c>
      <c r="D75" s="2"/>
      <c r="E75" s="2" t="s">
        <v>132</v>
      </c>
      <c r="F75" s="2" t="s">
        <v>12</v>
      </c>
      <c r="G75" s="2">
        <v>8</v>
      </c>
      <c r="H75" s="2" t="s">
        <v>59</v>
      </c>
      <c r="I75" s="2" t="s">
        <v>59</v>
      </c>
      <c r="J75" s="2" t="s">
        <v>404</v>
      </c>
      <c r="K75" s="2">
        <v>13196999</v>
      </c>
      <c r="L75" s="3">
        <v>48</v>
      </c>
      <c r="M75" s="4"/>
      <c r="N75" s="4"/>
      <c r="O75" s="4"/>
      <c r="P75" s="4"/>
      <c r="Q75" s="4"/>
      <c r="R75" s="5"/>
      <c r="S75" s="5">
        <f>MAX(ROUND(10*(CY75/L75), 0),1)</f>
        <v>10</v>
      </c>
      <c r="T75" s="5">
        <f>MAX(ROUND(30*(CY75/L75), 0),1)</f>
        <v>30</v>
      </c>
      <c r="U75" s="5">
        <f>MAX(ROUND(5*(CY75/L75), 0),1)</f>
        <v>5</v>
      </c>
      <c r="V75" s="5">
        <f>MAX(ROUND(3*(CY75/L75), 0),1)</f>
        <v>3</v>
      </c>
      <c r="W75" s="4"/>
      <c r="X75" s="5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2">
        <v>48</v>
      </c>
      <c r="CZ75" s="2">
        <f t="shared" si="5"/>
        <v>48</v>
      </c>
      <c r="DA75" s="9">
        <v>28</v>
      </c>
      <c r="DB75" s="9">
        <v>70</v>
      </c>
    </row>
    <row r="76" spans="1:106" ht="60" customHeight="1">
      <c r="A76" s="2" t="s">
        <v>1</v>
      </c>
      <c r="B76" s="2" t="s">
        <v>2</v>
      </c>
      <c r="C76" s="2" t="s">
        <v>3</v>
      </c>
      <c r="D76" s="2"/>
      <c r="E76" s="2" t="s">
        <v>133</v>
      </c>
      <c r="F76" s="2" t="s">
        <v>131</v>
      </c>
      <c r="G76" s="2">
        <v>11</v>
      </c>
      <c r="H76" s="2" t="s">
        <v>59</v>
      </c>
      <c r="I76" s="2" t="s">
        <v>59</v>
      </c>
      <c r="J76" s="2" t="s">
        <v>404</v>
      </c>
      <c r="K76" s="2">
        <v>13197000</v>
      </c>
      <c r="L76" s="3">
        <v>54</v>
      </c>
      <c r="M76" s="4"/>
      <c r="N76" s="4"/>
      <c r="O76" s="4"/>
      <c r="P76" s="4"/>
      <c r="Q76" s="4"/>
      <c r="R76" s="5"/>
      <c r="S76" s="5">
        <f>MAX(ROUND(20*(CY76/L76), 0),1)</f>
        <v>20</v>
      </c>
      <c r="T76" s="5">
        <f>MAX(ROUND(34*(CY76/L76), 0),1)</f>
        <v>34</v>
      </c>
      <c r="U76" s="5"/>
      <c r="V76" s="5"/>
      <c r="W76" s="4"/>
      <c r="X76" s="5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2">
        <v>54</v>
      </c>
      <c r="CZ76" s="2">
        <f t="shared" si="5"/>
        <v>54</v>
      </c>
      <c r="DA76" s="9">
        <v>16</v>
      </c>
      <c r="DB76" s="9">
        <v>40</v>
      </c>
    </row>
    <row r="77" spans="1:106" ht="60" customHeight="1">
      <c r="A77" s="2" t="s">
        <v>1</v>
      </c>
      <c r="B77" s="2" t="s">
        <v>2</v>
      </c>
      <c r="C77" s="2" t="s">
        <v>3</v>
      </c>
      <c r="D77" s="2"/>
      <c r="E77" s="2" t="s">
        <v>133</v>
      </c>
      <c r="F77" s="2" t="s">
        <v>12</v>
      </c>
      <c r="G77" s="2">
        <v>8</v>
      </c>
      <c r="H77" s="2" t="s">
        <v>59</v>
      </c>
      <c r="I77" s="2" t="s">
        <v>59</v>
      </c>
      <c r="J77" s="2" t="s">
        <v>404</v>
      </c>
      <c r="K77" s="2">
        <v>13197002</v>
      </c>
      <c r="L77" s="3">
        <v>20</v>
      </c>
      <c r="M77" s="4"/>
      <c r="N77" s="4"/>
      <c r="O77" s="4"/>
      <c r="P77" s="4"/>
      <c r="Q77" s="4"/>
      <c r="R77" s="5"/>
      <c r="S77" s="5">
        <f>MAX(ROUND(17*(CY77/L77), 0),1)</f>
        <v>17</v>
      </c>
      <c r="T77" s="5">
        <f>MAX(ROUND(3*(CY77/L77), 0),1)</f>
        <v>3</v>
      </c>
      <c r="U77" s="5"/>
      <c r="V77" s="5"/>
      <c r="W77" s="4"/>
      <c r="X77" s="5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2">
        <v>20</v>
      </c>
      <c r="CZ77" s="2">
        <f t="shared" si="5"/>
        <v>20</v>
      </c>
      <c r="DA77" s="9">
        <v>16</v>
      </c>
      <c r="DB77" s="9">
        <v>40</v>
      </c>
    </row>
    <row r="78" spans="1:106" ht="60" customHeight="1">
      <c r="A78" s="2" t="s">
        <v>1</v>
      </c>
      <c r="B78" s="2" t="s">
        <v>2</v>
      </c>
      <c r="C78" s="2" t="s">
        <v>3</v>
      </c>
      <c r="D78" s="2"/>
      <c r="E78" s="2" t="s">
        <v>134</v>
      </c>
      <c r="F78" s="2" t="s">
        <v>11</v>
      </c>
      <c r="G78" s="2">
        <v>3</v>
      </c>
      <c r="H78" s="2" t="s">
        <v>59</v>
      </c>
      <c r="I78" s="2" t="s">
        <v>59</v>
      </c>
      <c r="J78" s="2" t="s">
        <v>404</v>
      </c>
      <c r="K78" s="2">
        <v>13197003</v>
      </c>
      <c r="L78" s="3">
        <v>16</v>
      </c>
      <c r="M78" s="4"/>
      <c r="N78" s="4"/>
      <c r="O78" s="4"/>
      <c r="P78" s="4"/>
      <c r="Q78" s="4"/>
      <c r="R78" s="5"/>
      <c r="S78" s="5">
        <f>MAX(ROUND(16*(CY78/L78), 0),1)</f>
        <v>16</v>
      </c>
      <c r="T78" s="5"/>
      <c r="U78" s="5"/>
      <c r="V78" s="5"/>
      <c r="W78" s="4"/>
      <c r="X78" s="5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2">
        <v>16</v>
      </c>
      <c r="CZ78" s="2">
        <f t="shared" si="5"/>
        <v>16</v>
      </c>
      <c r="DA78" s="9">
        <v>18</v>
      </c>
      <c r="DB78" s="9">
        <v>45</v>
      </c>
    </row>
    <row r="79" spans="1:106" ht="60" customHeight="1">
      <c r="A79" s="2" t="s">
        <v>1</v>
      </c>
      <c r="B79" s="2" t="s">
        <v>2</v>
      </c>
      <c r="C79" s="2" t="s">
        <v>3</v>
      </c>
      <c r="D79" s="2"/>
      <c r="E79" s="2" t="s">
        <v>135</v>
      </c>
      <c r="F79" s="2" t="s">
        <v>12</v>
      </c>
      <c r="G79" s="2">
        <v>8</v>
      </c>
      <c r="H79" s="2" t="s">
        <v>59</v>
      </c>
      <c r="I79" s="2" t="s">
        <v>59</v>
      </c>
      <c r="J79" s="2" t="s">
        <v>413</v>
      </c>
      <c r="K79" s="2">
        <v>13197005</v>
      </c>
      <c r="L79" s="3">
        <v>27</v>
      </c>
      <c r="M79" s="4"/>
      <c r="N79" s="4"/>
      <c r="O79" s="4"/>
      <c r="P79" s="4"/>
      <c r="Q79" s="4"/>
      <c r="R79" s="5"/>
      <c r="S79" s="5">
        <f>MAX(ROUND(4*(CY79/L79), 0),1)</f>
        <v>4</v>
      </c>
      <c r="T79" s="5">
        <f>MAX(ROUND(23*(CY79/L79), 0),1)</f>
        <v>23</v>
      </c>
      <c r="U79" s="5"/>
      <c r="V79" s="5"/>
      <c r="W79" s="4"/>
      <c r="X79" s="5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2">
        <v>27</v>
      </c>
      <c r="CZ79" s="2">
        <f t="shared" si="5"/>
        <v>27</v>
      </c>
      <c r="DA79" s="9">
        <v>24</v>
      </c>
      <c r="DB79" s="9">
        <v>60</v>
      </c>
    </row>
    <row r="80" spans="1:106" ht="60" customHeight="1">
      <c r="A80" s="2" t="s">
        <v>1</v>
      </c>
      <c r="B80" s="2" t="s">
        <v>2</v>
      </c>
      <c r="C80" s="2" t="s">
        <v>3</v>
      </c>
      <c r="D80" s="2"/>
      <c r="E80" s="2" t="s">
        <v>92</v>
      </c>
      <c r="F80" s="2" t="s">
        <v>113</v>
      </c>
      <c r="G80" s="2">
        <v>33</v>
      </c>
      <c r="H80" s="2" t="s">
        <v>4</v>
      </c>
      <c r="I80" s="2" t="s">
        <v>10</v>
      </c>
      <c r="J80" s="2" t="s">
        <v>414</v>
      </c>
      <c r="K80" s="2">
        <v>13390766</v>
      </c>
      <c r="L80" s="3">
        <v>13</v>
      </c>
      <c r="M80" s="4"/>
      <c r="N80" s="4"/>
      <c r="O80" s="4"/>
      <c r="P80" s="4"/>
      <c r="Q80" s="4"/>
      <c r="R80" s="5"/>
      <c r="S80" s="5">
        <f>MAX(ROUND(4*(CY80/L80), 0),1)</f>
        <v>4</v>
      </c>
      <c r="T80" s="5"/>
      <c r="U80" s="5">
        <f>MAX(ROUND(1*(CY80/L80), 0),1)</f>
        <v>1</v>
      </c>
      <c r="V80" s="5">
        <f>MAX(ROUND(4*(CY80/L80), 0),1)</f>
        <v>4</v>
      </c>
      <c r="W80" s="4"/>
      <c r="X80" s="5">
        <f>MAX(ROUND(2*(CY80/L80), 0),1)</f>
        <v>2</v>
      </c>
      <c r="Y80" s="5">
        <f>MAX(ROUND(2*(CY80/L80), 0),1)</f>
        <v>2</v>
      </c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2">
        <v>13</v>
      </c>
      <c r="CZ80" s="2">
        <f t="shared" si="5"/>
        <v>13</v>
      </c>
      <c r="DA80" s="9">
        <v>16.09</v>
      </c>
      <c r="DB80" s="9">
        <v>32.99</v>
      </c>
    </row>
    <row r="81" spans="1:106" ht="60" customHeight="1">
      <c r="A81" s="2" t="s">
        <v>1</v>
      </c>
      <c r="B81" s="2" t="s">
        <v>6</v>
      </c>
      <c r="C81" s="2" t="s">
        <v>3</v>
      </c>
      <c r="D81" s="2"/>
      <c r="E81" s="2" t="s">
        <v>121</v>
      </c>
      <c r="F81" s="2" t="s">
        <v>137</v>
      </c>
      <c r="G81" s="2">
        <v>17</v>
      </c>
      <c r="H81" s="2" t="s">
        <v>4</v>
      </c>
      <c r="I81" s="2" t="s">
        <v>10</v>
      </c>
      <c r="J81" s="2" t="s">
        <v>404</v>
      </c>
      <c r="K81" s="2">
        <v>13407504</v>
      </c>
      <c r="L81" s="3">
        <v>48</v>
      </c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5"/>
      <c r="CM81" s="5"/>
      <c r="CN81" s="5">
        <f>MAX(ROUND(14*(CY81/L81), 0),1)</f>
        <v>14</v>
      </c>
      <c r="CO81" s="4"/>
      <c r="CP81" s="5">
        <f>MAX(ROUND(34*(CY81/L81), 0),1)</f>
        <v>34</v>
      </c>
      <c r="CQ81" s="4"/>
      <c r="CR81" s="5"/>
      <c r="CS81" s="4"/>
      <c r="CT81" s="4"/>
      <c r="CU81" s="5"/>
      <c r="CV81" s="5"/>
      <c r="CW81" s="4"/>
      <c r="CX81" s="4"/>
      <c r="CY81" s="2">
        <v>48</v>
      </c>
      <c r="CZ81" s="2">
        <f t="shared" si="5"/>
        <v>48</v>
      </c>
      <c r="DA81" s="9">
        <v>7.31</v>
      </c>
      <c r="DB81" s="9">
        <v>14.99</v>
      </c>
    </row>
    <row r="82" spans="1:106" ht="60" customHeight="1">
      <c r="A82" s="2" t="s">
        <v>1</v>
      </c>
      <c r="B82" s="2" t="s">
        <v>6</v>
      </c>
      <c r="C82" s="2" t="s">
        <v>3</v>
      </c>
      <c r="D82" s="2"/>
      <c r="E82" s="2" t="s">
        <v>121</v>
      </c>
      <c r="F82" s="2" t="s">
        <v>138</v>
      </c>
      <c r="G82" s="2">
        <v>4</v>
      </c>
      <c r="H82" s="2" t="s">
        <v>4</v>
      </c>
      <c r="I82" s="2" t="s">
        <v>10</v>
      </c>
      <c r="J82" s="2" t="s">
        <v>404</v>
      </c>
      <c r="K82" s="2">
        <v>13407506</v>
      </c>
      <c r="L82" s="3">
        <v>508</v>
      </c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5"/>
      <c r="CM82" s="5"/>
      <c r="CN82" s="5">
        <f>MAX(ROUND(252*(CY82/L82), 0),1)</f>
        <v>252</v>
      </c>
      <c r="CO82" s="4"/>
      <c r="CP82" s="5">
        <f>MAX(ROUND(256*(CY82/L82), 0),1)</f>
        <v>256</v>
      </c>
      <c r="CQ82" s="4"/>
      <c r="CR82" s="5"/>
      <c r="CS82" s="4"/>
      <c r="CT82" s="4"/>
      <c r="CU82" s="5"/>
      <c r="CV82" s="5"/>
      <c r="CW82" s="4"/>
      <c r="CX82" s="4"/>
      <c r="CY82" s="2">
        <v>508</v>
      </c>
      <c r="CZ82" s="2">
        <f t="shared" si="5"/>
        <v>508</v>
      </c>
      <c r="DA82" s="9">
        <v>7.31</v>
      </c>
      <c r="DB82" s="9">
        <v>14.99</v>
      </c>
    </row>
    <row r="83" spans="1:106" ht="60" customHeight="1">
      <c r="A83" s="2" t="s">
        <v>1</v>
      </c>
      <c r="B83" s="2" t="s">
        <v>2</v>
      </c>
      <c r="C83" s="2" t="s">
        <v>3</v>
      </c>
      <c r="D83" s="2"/>
      <c r="E83" s="2" t="s">
        <v>142</v>
      </c>
      <c r="F83" s="2" t="s">
        <v>143</v>
      </c>
      <c r="G83" s="2">
        <v>8</v>
      </c>
      <c r="H83" s="2" t="s">
        <v>4</v>
      </c>
      <c r="I83" s="2" t="s">
        <v>144</v>
      </c>
      <c r="J83" s="2" t="s">
        <v>404</v>
      </c>
      <c r="K83" s="2">
        <v>13434091</v>
      </c>
      <c r="L83" s="3">
        <v>118</v>
      </c>
      <c r="M83" s="4"/>
      <c r="N83" s="4"/>
      <c r="O83" s="4"/>
      <c r="P83" s="4"/>
      <c r="Q83" s="4"/>
      <c r="R83" s="4"/>
      <c r="S83" s="5">
        <f>MAX(ROUND(118*(CY83/L83), 0),1)</f>
        <v>118</v>
      </c>
      <c r="T83" s="5"/>
      <c r="U83" s="5"/>
      <c r="V83" s="5"/>
      <c r="W83" s="5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2">
        <v>118</v>
      </c>
      <c r="CZ83" s="2">
        <f t="shared" si="5"/>
        <v>118</v>
      </c>
      <c r="DA83" s="9">
        <v>13.17</v>
      </c>
      <c r="DB83" s="9">
        <v>27</v>
      </c>
    </row>
    <row r="84" spans="1:106" ht="60" customHeight="1">
      <c r="A84" s="2" t="s">
        <v>1</v>
      </c>
      <c r="B84" s="2" t="s">
        <v>2</v>
      </c>
      <c r="C84" s="2" t="s">
        <v>3</v>
      </c>
      <c r="D84" s="2"/>
      <c r="E84" s="2" t="s">
        <v>145</v>
      </c>
      <c r="F84" s="2" t="s">
        <v>146</v>
      </c>
      <c r="G84" s="2">
        <v>122</v>
      </c>
      <c r="H84" s="2" t="s">
        <v>4</v>
      </c>
      <c r="I84" s="2" t="s">
        <v>144</v>
      </c>
      <c r="J84" s="2" t="s">
        <v>413</v>
      </c>
      <c r="K84" s="2">
        <v>13434104</v>
      </c>
      <c r="L84" s="3">
        <v>136</v>
      </c>
      <c r="M84" s="4"/>
      <c r="N84" s="4"/>
      <c r="O84" s="4"/>
      <c r="P84" s="4"/>
      <c r="Q84" s="4"/>
      <c r="R84" s="4"/>
      <c r="S84" s="5">
        <f>MAX(ROUND(103*(CY84/L84), 0),1)</f>
        <v>103</v>
      </c>
      <c r="T84" s="5">
        <f>MAX(ROUND(33*(CY84/L84), 0),1)</f>
        <v>33</v>
      </c>
      <c r="U84" s="5"/>
      <c r="V84" s="5"/>
      <c r="W84" s="5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2">
        <v>136</v>
      </c>
      <c r="CZ84" s="2">
        <f t="shared" si="5"/>
        <v>136</v>
      </c>
      <c r="DA84" s="9">
        <v>17.07</v>
      </c>
      <c r="DB84" s="9">
        <v>35</v>
      </c>
    </row>
    <row r="85" spans="1:106" ht="60" customHeight="1">
      <c r="A85" s="2" t="s">
        <v>1</v>
      </c>
      <c r="B85" s="2" t="s">
        <v>2</v>
      </c>
      <c r="C85" s="2" t="s">
        <v>3</v>
      </c>
      <c r="D85" s="2"/>
      <c r="E85" s="2" t="s">
        <v>147</v>
      </c>
      <c r="F85" s="2" t="s">
        <v>12</v>
      </c>
      <c r="G85" s="2">
        <v>8</v>
      </c>
      <c r="H85" s="2" t="s">
        <v>4</v>
      </c>
      <c r="I85" s="2" t="s">
        <v>148</v>
      </c>
      <c r="J85" s="2" t="s">
        <v>404</v>
      </c>
      <c r="K85" s="2">
        <v>13436402</v>
      </c>
      <c r="L85" s="3">
        <v>62</v>
      </c>
      <c r="M85" s="4"/>
      <c r="N85" s="4"/>
      <c r="O85" s="4"/>
      <c r="P85" s="4"/>
      <c r="Q85" s="4"/>
      <c r="R85" s="4"/>
      <c r="S85" s="5">
        <f>MAX(ROUND(30*(CY85/L85), 0),1)</f>
        <v>30</v>
      </c>
      <c r="T85" s="4"/>
      <c r="U85" s="5">
        <f>MAX(ROUND(32*(CY85/L85), 0),1)</f>
        <v>32</v>
      </c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2">
        <v>62</v>
      </c>
      <c r="CZ85" s="2">
        <f t="shared" si="5"/>
        <v>62</v>
      </c>
      <c r="DA85" s="9">
        <v>21.95</v>
      </c>
      <c r="DB85" s="9">
        <v>45</v>
      </c>
    </row>
    <row r="86" spans="1:106" ht="60" customHeight="1">
      <c r="A86" s="2" t="s">
        <v>1</v>
      </c>
      <c r="B86" s="2" t="s">
        <v>2</v>
      </c>
      <c r="C86" s="2" t="s">
        <v>3</v>
      </c>
      <c r="D86" s="2"/>
      <c r="E86" s="2" t="s">
        <v>149</v>
      </c>
      <c r="F86" s="2" t="s">
        <v>12</v>
      </c>
      <c r="G86" s="2">
        <v>8</v>
      </c>
      <c r="H86" s="2" t="s">
        <v>4</v>
      </c>
      <c r="I86" s="2" t="s">
        <v>150</v>
      </c>
      <c r="J86" s="2" t="s">
        <v>404</v>
      </c>
      <c r="K86" s="2">
        <v>13449045</v>
      </c>
      <c r="L86" s="3">
        <v>68</v>
      </c>
      <c r="M86" s="4"/>
      <c r="N86" s="4"/>
      <c r="O86" s="4"/>
      <c r="P86" s="4"/>
      <c r="Q86" s="4"/>
      <c r="R86" s="4"/>
      <c r="S86" s="5">
        <f>MAX(ROUND(68*(CY86/L86), 0),1)</f>
        <v>68</v>
      </c>
      <c r="T86" s="5"/>
      <c r="U86" s="5"/>
      <c r="V86" s="5"/>
      <c r="W86" s="5"/>
      <c r="X86" s="4"/>
      <c r="Y86" s="5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2">
        <v>68</v>
      </c>
      <c r="CZ86" s="2">
        <f t="shared" si="5"/>
        <v>68</v>
      </c>
      <c r="DA86" s="9">
        <v>9.76</v>
      </c>
      <c r="DB86" s="9">
        <v>20</v>
      </c>
    </row>
    <row r="87" spans="1:106" ht="60" customHeight="1">
      <c r="A87" s="2" t="s">
        <v>1</v>
      </c>
      <c r="B87" s="2" t="s">
        <v>2</v>
      </c>
      <c r="C87" s="2" t="s">
        <v>3</v>
      </c>
      <c r="D87" s="2"/>
      <c r="E87" s="2" t="s">
        <v>151</v>
      </c>
      <c r="F87" s="2" t="s">
        <v>94</v>
      </c>
      <c r="G87" s="2">
        <v>222</v>
      </c>
      <c r="H87" s="2" t="s">
        <v>4</v>
      </c>
      <c r="I87" s="2" t="s">
        <v>48</v>
      </c>
      <c r="J87" s="2" t="s">
        <v>409</v>
      </c>
      <c r="K87" s="2">
        <v>13449135</v>
      </c>
      <c r="L87" s="3">
        <v>127</v>
      </c>
      <c r="M87" s="4"/>
      <c r="N87" s="4"/>
      <c r="O87" s="4"/>
      <c r="P87" s="4"/>
      <c r="Q87" s="4"/>
      <c r="R87" s="4"/>
      <c r="S87" s="5">
        <f>MAX(ROUND(28*(CY87/L87), 0),1)</f>
        <v>28</v>
      </c>
      <c r="T87" s="5">
        <f>MAX(ROUND(14*(CY87/L87), 0),1)</f>
        <v>14</v>
      </c>
      <c r="U87" s="5">
        <f>MAX(ROUND(22*(CY87/L87), 0),1)</f>
        <v>22</v>
      </c>
      <c r="V87" s="5">
        <f>MAX(ROUND(52*(CY87/L87), 0),1)</f>
        <v>52</v>
      </c>
      <c r="W87" s="5">
        <f>MAX(ROUND(11*(CY87/L87), 0),1)</f>
        <v>11</v>
      </c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2">
        <v>127</v>
      </c>
      <c r="CZ87" s="2">
        <f t="shared" si="5"/>
        <v>127</v>
      </c>
      <c r="DA87" s="9">
        <v>34.15</v>
      </c>
      <c r="DB87" s="9">
        <v>70</v>
      </c>
    </row>
    <row r="88" spans="1:106" ht="60" customHeight="1">
      <c r="A88" s="2" t="s">
        <v>1</v>
      </c>
      <c r="B88" s="2" t="s">
        <v>2</v>
      </c>
      <c r="C88" s="2" t="s">
        <v>3</v>
      </c>
      <c r="D88" s="2"/>
      <c r="E88" s="2" t="s">
        <v>152</v>
      </c>
      <c r="F88" s="2" t="s">
        <v>153</v>
      </c>
      <c r="G88" s="2">
        <v>42</v>
      </c>
      <c r="H88" s="2" t="s">
        <v>4</v>
      </c>
      <c r="I88" s="2" t="s">
        <v>79</v>
      </c>
      <c r="J88" s="2" t="s">
        <v>404</v>
      </c>
      <c r="K88" s="2">
        <v>13457002</v>
      </c>
      <c r="L88" s="3">
        <v>14</v>
      </c>
      <c r="M88" s="4"/>
      <c r="N88" s="4"/>
      <c r="O88" s="4"/>
      <c r="P88" s="4"/>
      <c r="Q88" s="4"/>
      <c r="R88" s="4"/>
      <c r="S88" s="5">
        <f>MAX(ROUND(14*(CY88/L88), 0),1)</f>
        <v>14</v>
      </c>
      <c r="T88" s="5"/>
      <c r="U88" s="5"/>
      <c r="V88" s="5"/>
      <c r="W88" s="4"/>
      <c r="X88" s="5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2">
        <v>14</v>
      </c>
      <c r="CZ88" s="2">
        <f t="shared" ref="CZ88:CZ107" si="6">SUM(M88:CX88)</f>
        <v>14</v>
      </c>
      <c r="DA88" s="9">
        <v>12.2</v>
      </c>
      <c r="DB88" s="9">
        <v>25</v>
      </c>
    </row>
    <row r="89" spans="1:106" ht="60" customHeight="1">
      <c r="A89" s="2" t="s">
        <v>1</v>
      </c>
      <c r="B89" s="2" t="s">
        <v>2</v>
      </c>
      <c r="C89" s="2" t="s">
        <v>3</v>
      </c>
      <c r="D89" s="2"/>
      <c r="E89" s="2" t="s">
        <v>154</v>
      </c>
      <c r="F89" s="2" t="s">
        <v>153</v>
      </c>
      <c r="G89" s="2">
        <v>42</v>
      </c>
      <c r="H89" s="2" t="s">
        <v>4</v>
      </c>
      <c r="I89" s="2" t="s">
        <v>79</v>
      </c>
      <c r="J89" s="2" t="s">
        <v>404</v>
      </c>
      <c r="K89" s="2">
        <v>13457007</v>
      </c>
      <c r="L89" s="3">
        <v>37</v>
      </c>
      <c r="M89" s="4"/>
      <c r="N89" s="4"/>
      <c r="O89" s="4"/>
      <c r="P89" s="4"/>
      <c r="Q89" s="4"/>
      <c r="R89" s="4"/>
      <c r="S89" s="5">
        <f>MAX(ROUND(37*(CY89/L89), 0),1)</f>
        <v>37</v>
      </c>
      <c r="T89" s="5"/>
      <c r="U89" s="5"/>
      <c r="V89" s="5"/>
      <c r="W89" s="4"/>
      <c r="X89" s="5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2">
        <v>37</v>
      </c>
      <c r="CZ89" s="2">
        <f t="shared" si="6"/>
        <v>37</v>
      </c>
      <c r="DA89" s="9">
        <v>12.68</v>
      </c>
      <c r="DB89" s="9">
        <v>26</v>
      </c>
    </row>
    <row r="90" spans="1:106" ht="60" customHeight="1">
      <c r="A90" s="2" t="s">
        <v>1</v>
      </c>
      <c r="B90" s="2" t="s">
        <v>2</v>
      </c>
      <c r="C90" s="2" t="s">
        <v>3</v>
      </c>
      <c r="D90" s="2"/>
      <c r="E90" s="2" t="s">
        <v>155</v>
      </c>
      <c r="F90" s="2" t="s">
        <v>156</v>
      </c>
      <c r="G90" s="2">
        <v>20</v>
      </c>
      <c r="H90" s="2" t="s">
        <v>4</v>
      </c>
      <c r="I90" s="2" t="s">
        <v>79</v>
      </c>
      <c r="J90" s="2" t="s">
        <v>413</v>
      </c>
      <c r="K90" s="2">
        <v>13457053</v>
      </c>
      <c r="L90" s="3">
        <v>15</v>
      </c>
      <c r="M90" s="4"/>
      <c r="N90" s="4"/>
      <c r="O90" s="4"/>
      <c r="P90" s="4"/>
      <c r="Q90" s="4"/>
      <c r="R90" s="4"/>
      <c r="S90" s="5">
        <f>MAX(ROUND(15*(CY90/L90), 0),1)</f>
        <v>15</v>
      </c>
      <c r="T90" s="5"/>
      <c r="U90" s="5"/>
      <c r="V90" s="5"/>
      <c r="W90" s="4"/>
      <c r="X90" s="5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2">
        <v>15</v>
      </c>
      <c r="CZ90" s="2">
        <f t="shared" si="6"/>
        <v>15</v>
      </c>
      <c r="DA90" s="9">
        <v>17.07</v>
      </c>
      <c r="DB90" s="9">
        <v>35</v>
      </c>
    </row>
    <row r="91" spans="1:106" ht="60" customHeight="1">
      <c r="A91" s="2" t="s">
        <v>1</v>
      </c>
      <c r="B91" s="2" t="s">
        <v>18</v>
      </c>
      <c r="C91" s="2" t="s">
        <v>3</v>
      </c>
      <c r="D91" s="2"/>
      <c r="E91" s="2" t="s">
        <v>157</v>
      </c>
      <c r="F91" s="2" t="s">
        <v>12</v>
      </c>
      <c r="G91" s="2">
        <v>8</v>
      </c>
      <c r="H91" s="2" t="s">
        <v>59</v>
      </c>
      <c r="I91" s="2" t="s">
        <v>60</v>
      </c>
      <c r="J91" s="2" t="s">
        <v>418</v>
      </c>
      <c r="K91" s="2">
        <v>13457216</v>
      </c>
      <c r="L91" s="3">
        <v>36</v>
      </c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5">
        <f>MAX(ROUND(36*(CY91/L91), 0),1)</f>
        <v>36</v>
      </c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2">
        <v>36</v>
      </c>
      <c r="CZ91" s="2">
        <f t="shared" si="6"/>
        <v>36</v>
      </c>
      <c r="DA91" s="9">
        <v>8.33</v>
      </c>
      <c r="DB91" s="9">
        <v>19.989999999999998</v>
      </c>
    </row>
    <row r="92" spans="1:106" ht="60" customHeight="1">
      <c r="A92" s="2" t="s">
        <v>1</v>
      </c>
      <c r="B92" s="2" t="s">
        <v>2</v>
      </c>
      <c r="C92" s="2" t="s">
        <v>3</v>
      </c>
      <c r="D92" s="2"/>
      <c r="E92" s="2" t="s">
        <v>158</v>
      </c>
      <c r="F92" s="2" t="s">
        <v>12</v>
      </c>
      <c r="G92" s="2">
        <v>8</v>
      </c>
      <c r="H92" s="2" t="s">
        <v>4</v>
      </c>
      <c r="I92" s="2" t="s">
        <v>73</v>
      </c>
      <c r="J92" s="2" t="s">
        <v>409</v>
      </c>
      <c r="K92" s="2">
        <v>13457237</v>
      </c>
      <c r="L92" s="3">
        <v>37</v>
      </c>
      <c r="M92" s="4"/>
      <c r="N92" s="4"/>
      <c r="O92" s="4"/>
      <c r="P92" s="4"/>
      <c r="Q92" s="4"/>
      <c r="R92" s="5">
        <f>MAX(ROUND(3*(CY92/L92), 0),1)</f>
        <v>3</v>
      </c>
      <c r="S92" s="5">
        <f>MAX(ROUND(34*(CY92/L92), 0),1)</f>
        <v>34</v>
      </c>
      <c r="T92" s="5"/>
      <c r="U92" s="5"/>
      <c r="V92" s="5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2">
        <v>37</v>
      </c>
      <c r="CZ92" s="2">
        <f t="shared" si="6"/>
        <v>37</v>
      </c>
      <c r="DA92" s="9">
        <v>24.39</v>
      </c>
      <c r="DB92" s="9">
        <v>50</v>
      </c>
    </row>
    <row r="93" spans="1:106" ht="60" customHeight="1">
      <c r="A93" s="2" t="s">
        <v>1</v>
      </c>
      <c r="B93" s="2" t="s">
        <v>2</v>
      </c>
      <c r="C93" s="2" t="s">
        <v>3</v>
      </c>
      <c r="D93" s="2"/>
      <c r="E93" s="2" t="s">
        <v>75</v>
      </c>
      <c r="F93" s="2" t="s">
        <v>11</v>
      </c>
      <c r="G93" s="2">
        <v>3</v>
      </c>
      <c r="H93" s="2" t="s">
        <v>4</v>
      </c>
      <c r="I93" s="2" t="s">
        <v>73</v>
      </c>
      <c r="J93" s="2" t="s">
        <v>409</v>
      </c>
      <c r="K93" s="2">
        <v>13457239</v>
      </c>
      <c r="L93" s="3">
        <v>47</v>
      </c>
      <c r="M93" s="4"/>
      <c r="N93" s="4"/>
      <c r="O93" s="4"/>
      <c r="P93" s="4"/>
      <c r="Q93" s="4"/>
      <c r="R93" s="5">
        <f>MAX(ROUND(8*(CY93/L93), 0),1)</f>
        <v>8</v>
      </c>
      <c r="S93" s="5">
        <f>MAX(ROUND(39*(CY93/L93), 0),1)</f>
        <v>39</v>
      </c>
      <c r="T93" s="5"/>
      <c r="U93" s="5"/>
      <c r="V93" s="5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2">
        <v>47</v>
      </c>
      <c r="CZ93" s="2">
        <f t="shared" si="6"/>
        <v>47</v>
      </c>
      <c r="DA93" s="9">
        <v>29.27</v>
      </c>
      <c r="DB93" s="9">
        <v>60</v>
      </c>
    </row>
    <row r="94" spans="1:106" ht="60" customHeight="1">
      <c r="A94" s="2" t="s">
        <v>1</v>
      </c>
      <c r="B94" s="2" t="s">
        <v>6</v>
      </c>
      <c r="C94" s="2" t="s">
        <v>3</v>
      </c>
      <c r="D94" s="2"/>
      <c r="E94" s="2" t="s">
        <v>160</v>
      </c>
      <c r="F94" s="2" t="s">
        <v>12</v>
      </c>
      <c r="G94" s="2">
        <v>8</v>
      </c>
      <c r="H94" s="2" t="s">
        <v>4</v>
      </c>
      <c r="I94" s="2" t="s">
        <v>159</v>
      </c>
      <c r="J94" s="2" t="s">
        <v>404</v>
      </c>
      <c r="K94" s="2">
        <v>13468342</v>
      </c>
      <c r="L94" s="3">
        <v>130</v>
      </c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5"/>
      <c r="CM94" s="5">
        <f>MAX(ROUND(130*(CY94/L94), 0),1)</f>
        <v>130</v>
      </c>
      <c r="CN94" s="5"/>
      <c r="CO94" s="4"/>
      <c r="CP94" s="5"/>
      <c r="CQ94" s="4"/>
      <c r="CR94" s="5"/>
      <c r="CS94" s="4"/>
      <c r="CT94" s="4"/>
      <c r="CU94" s="5"/>
      <c r="CV94" s="5"/>
      <c r="CW94" s="4"/>
      <c r="CX94" s="4"/>
      <c r="CY94" s="2">
        <v>130</v>
      </c>
      <c r="CZ94" s="2">
        <f t="shared" si="6"/>
        <v>130</v>
      </c>
      <c r="DA94" s="9">
        <v>9.26</v>
      </c>
      <c r="DB94" s="9">
        <v>18.989999999999998</v>
      </c>
    </row>
    <row r="95" spans="1:106" ht="60" customHeight="1">
      <c r="A95" s="2" t="s">
        <v>1</v>
      </c>
      <c r="B95" s="2" t="s">
        <v>6</v>
      </c>
      <c r="C95" s="2" t="s">
        <v>3</v>
      </c>
      <c r="D95" s="2"/>
      <c r="E95" s="2" t="s">
        <v>123</v>
      </c>
      <c r="F95" s="2" t="s">
        <v>116</v>
      </c>
      <c r="G95" s="2">
        <v>121</v>
      </c>
      <c r="H95" s="2" t="s">
        <v>4</v>
      </c>
      <c r="I95" s="2" t="s">
        <v>10</v>
      </c>
      <c r="J95" s="2" t="s">
        <v>409</v>
      </c>
      <c r="K95" s="2">
        <v>13484099</v>
      </c>
      <c r="L95" s="3">
        <v>105</v>
      </c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5">
        <f>MAX(ROUND(21*(CY95/L95), 0),1)</f>
        <v>21</v>
      </c>
      <c r="CM95" s="5"/>
      <c r="CN95" s="5">
        <f>MAX(ROUND(16*(CY95/L95), 0),1)</f>
        <v>16</v>
      </c>
      <c r="CO95" s="4"/>
      <c r="CP95" s="5">
        <f>MAX(ROUND(16*(CY95/L95), 0),1)</f>
        <v>16</v>
      </c>
      <c r="CQ95" s="4"/>
      <c r="CR95" s="5">
        <f>MAX(ROUND(21*(CY95/L95), 0),1)</f>
        <v>21</v>
      </c>
      <c r="CS95" s="4"/>
      <c r="CT95" s="4"/>
      <c r="CU95" s="5">
        <f>MAX(ROUND(31*(CY95/L95), 0),1)</f>
        <v>31</v>
      </c>
      <c r="CV95" s="5"/>
      <c r="CW95" s="4"/>
      <c r="CX95" s="4"/>
      <c r="CY95" s="2">
        <v>105</v>
      </c>
      <c r="CZ95" s="2">
        <f t="shared" si="6"/>
        <v>105</v>
      </c>
      <c r="DA95" s="9">
        <v>19.510000000000002</v>
      </c>
      <c r="DB95" s="9">
        <v>39.99</v>
      </c>
    </row>
    <row r="96" spans="1:106" ht="60" customHeight="1">
      <c r="A96" s="2" t="s">
        <v>1</v>
      </c>
      <c r="B96" s="2" t="s">
        <v>2</v>
      </c>
      <c r="C96" s="2" t="s">
        <v>3</v>
      </c>
      <c r="D96" s="2"/>
      <c r="E96" s="2" t="s">
        <v>163</v>
      </c>
      <c r="F96" s="2" t="s">
        <v>136</v>
      </c>
      <c r="G96" s="2">
        <v>10</v>
      </c>
      <c r="H96" s="2" t="s">
        <v>4</v>
      </c>
      <c r="I96" s="2" t="s">
        <v>119</v>
      </c>
      <c r="J96" s="2" t="s">
        <v>413</v>
      </c>
      <c r="K96" s="2">
        <v>13486269</v>
      </c>
      <c r="L96" s="3">
        <v>29</v>
      </c>
      <c r="M96" s="4"/>
      <c r="N96" s="4"/>
      <c r="O96" s="4"/>
      <c r="P96" s="4"/>
      <c r="Q96" s="4"/>
      <c r="R96" s="4"/>
      <c r="S96" s="5">
        <f>MAX(ROUND(29*(CY96/L96), 0),1)</f>
        <v>29</v>
      </c>
      <c r="T96" s="5"/>
      <c r="U96" s="5"/>
      <c r="V96" s="5"/>
      <c r="W96" s="4"/>
      <c r="X96" s="5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2">
        <v>29</v>
      </c>
      <c r="CZ96" s="2">
        <f t="shared" si="6"/>
        <v>29</v>
      </c>
      <c r="DA96" s="9">
        <v>17.07</v>
      </c>
      <c r="DB96" s="9">
        <v>35</v>
      </c>
    </row>
    <row r="97" spans="1:106" ht="60" customHeight="1">
      <c r="A97" s="2" t="s">
        <v>1</v>
      </c>
      <c r="B97" s="2" t="s">
        <v>6</v>
      </c>
      <c r="C97" s="2" t="s">
        <v>3</v>
      </c>
      <c r="D97" s="2"/>
      <c r="E97" s="2" t="s">
        <v>111</v>
      </c>
      <c r="F97" s="2" t="s">
        <v>164</v>
      </c>
      <c r="G97" s="2">
        <v>8</v>
      </c>
      <c r="H97" s="2" t="s">
        <v>4</v>
      </c>
      <c r="I97" s="2" t="s">
        <v>106</v>
      </c>
      <c r="J97" s="2" t="s">
        <v>419</v>
      </c>
      <c r="K97" s="2">
        <v>13486614</v>
      </c>
      <c r="L97" s="3">
        <v>141</v>
      </c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5">
        <f>MAX(ROUND(9*(CY97/L97), 0),1)</f>
        <v>9</v>
      </c>
      <c r="CO97" s="4"/>
      <c r="CP97" s="5">
        <f>MAX(ROUND(24*(CY97/L97), 0),1)</f>
        <v>24</v>
      </c>
      <c r="CQ97" s="4"/>
      <c r="CR97" s="5">
        <f>MAX(ROUND(56*(CY97/L97), 0),1)</f>
        <v>56</v>
      </c>
      <c r="CS97" s="4"/>
      <c r="CT97" s="4"/>
      <c r="CU97" s="5"/>
      <c r="CV97" s="5">
        <f>MAX(ROUND(52*(CY97/L97), 0),1)</f>
        <v>52</v>
      </c>
      <c r="CW97" s="4"/>
      <c r="CX97" s="4"/>
      <c r="CY97" s="2">
        <v>141</v>
      </c>
      <c r="CZ97" s="2">
        <f t="shared" si="6"/>
        <v>141</v>
      </c>
      <c r="DA97" s="9">
        <v>11.21</v>
      </c>
      <c r="DB97" s="9">
        <v>22.99</v>
      </c>
    </row>
    <row r="98" spans="1:106" ht="60" customHeight="1">
      <c r="A98" s="2" t="s">
        <v>1</v>
      </c>
      <c r="B98" s="2" t="s">
        <v>2</v>
      </c>
      <c r="C98" s="2" t="s">
        <v>84</v>
      </c>
      <c r="D98" s="2"/>
      <c r="E98" s="2" t="s">
        <v>139</v>
      </c>
      <c r="F98" s="2" t="s">
        <v>45</v>
      </c>
      <c r="G98" s="2">
        <v>81</v>
      </c>
      <c r="H98" s="2" t="s">
        <v>4</v>
      </c>
      <c r="I98" s="2" t="s">
        <v>140</v>
      </c>
      <c r="J98" s="2" t="s">
        <v>420</v>
      </c>
      <c r="K98" s="2">
        <v>14592469</v>
      </c>
      <c r="L98" s="3">
        <v>72</v>
      </c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5">
        <f>MAX(ROUND(8*(CY98/L98), 0),1)</f>
        <v>8</v>
      </c>
      <c r="BL98" s="4"/>
      <c r="BM98" s="5">
        <f>MAX(ROUND(16*(CY98/L98), 0),1)</f>
        <v>16</v>
      </c>
      <c r="BN98" s="4"/>
      <c r="BO98" s="5">
        <f>MAX(ROUND(16*(CY98/L98), 0),1)</f>
        <v>16</v>
      </c>
      <c r="BP98" s="5">
        <f>MAX(ROUND(16*(CY98/L98), 0),1)</f>
        <v>16</v>
      </c>
      <c r="BQ98" s="4"/>
      <c r="BR98" s="5">
        <f>MAX(ROUND(8*(CY98/L98), 0),1)</f>
        <v>8</v>
      </c>
      <c r="BS98" s="4"/>
      <c r="BT98" s="5">
        <f>MAX(ROUND(8*(CY98/L98), 0),1)</f>
        <v>8</v>
      </c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2">
        <v>72</v>
      </c>
      <c r="CZ98" s="2">
        <f t="shared" si="6"/>
        <v>72</v>
      </c>
      <c r="DA98" s="9">
        <v>10</v>
      </c>
      <c r="DB98" s="9">
        <v>19.989999999999998</v>
      </c>
    </row>
    <row r="99" spans="1:106" ht="60" customHeight="1">
      <c r="A99" s="2" t="s">
        <v>1</v>
      </c>
      <c r="B99" s="2" t="s">
        <v>109</v>
      </c>
      <c r="C99" s="2" t="s">
        <v>84</v>
      </c>
      <c r="D99" s="2"/>
      <c r="E99" s="2" t="s">
        <v>139</v>
      </c>
      <c r="F99" s="2" t="s">
        <v>170</v>
      </c>
      <c r="G99" s="2">
        <v>53</v>
      </c>
      <c r="H99" s="2" t="s">
        <v>4</v>
      </c>
      <c r="I99" s="2" t="s">
        <v>140</v>
      </c>
      <c r="J99" s="2" t="s">
        <v>420</v>
      </c>
      <c r="K99" s="2">
        <v>14725172</v>
      </c>
      <c r="L99" s="3">
        <v>180</v>
      </c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5">
        <f>MAX(ROUND(20*(CY99/L99), 0),1)</f>
        <v>20</v>
      </c>
      <c r="AW99" s="5">
        <f>MAX(ROUND(20*(CY99/L99), 0),1)</f>
        <v>20</v>
      </c>
      <c r="AX99" s="5">
        <f>MAX(ROUND(20*(CY99/L99), 0),1)</f>
        <v>20</v>
      </c>
      <c r="AY99" s="5">
        <f>MAX(ROUND(20*(CY99/L99), 0),1)</f>
        <v>20</v>
      </c>
      <c r="AZ99" s="5">
        <f>MAX(ROUND(20*(CY99/L99), 0),1)</f>
        <v>20</v>
      </c>
      <c r="BA99" s="5">
        <f>MAX(ROUND(20*(CY99/L99), 0),1)</f>
        <v>20</v>
      </c>
      <c r="BB99" s="5">
        <f>MAX(ROUND(20*(CY99/L99), 0),1)</f>
        <v>20</v>
      </c>
      <c r="BC99" s="5">
        <f>MAX(ROUND(40*(CY99/L99), 0),1)</f>
        <v>40</v>
      </c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2">
        <v>180</v>
      </c>
      <c r="CZ99" s="2">
        <f t="shared" si="6"/>
        <v>180</v>
      </c>
      <c r="DA99" s="9">
        <v>9</v>
      </c>
      <c r="DB99" s="9">
        <v>17.989999999999998</v>
      </c>
    </row>
    <row r="100" spans="1:106" ht="60" customHeight="1">
      <c r="A100" s="2" t="s">
        <v>1</v>
      </c>
      <c r="B100" s="2" t="s">
        <v>104</v>
      </c>
      <c r="C100" s="2" t="s">
        <v>84</v>
      </c>
      <c r="D100" s="2"/>
      <c r="E100" s="2" t="s">
        <v>161</v>
      </c>
      <c r="F100" s="2" t="s">
        <v>162</v>
      </c>
      <c r="G100" s="2">
        <v>34</v>
      </c>
      <c r="H100" s="2" t="s">
        <v>4</v>
      </c>
      <c r="I100" s="2" t="s">
        <v>140</v>
      </c>
      <c r="J100" s="2" t="s">
        <v>420</v>
      </c>
      <c r="K100" s="2">
        <v>14739863</v>
      </c>
      <c r="L100" s="3">
        <v>342</v>
      </c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5">
        <f>MAX(ROUND(38*(CY100/L100), 0),1)</f>
        <v>38</v>
      </c>
      <c r="AR100" s="5">
        <f>MAX(ROUND(38*(CY100/L100), 0),1)</f>
        <v>38</v>
      </c>
      <c r="AS100" s="5">
        <f>MAX(ROUND(38*(CY100/L100), 0),1)</f>
        <v>38</v>
      </c>
      <c r="AT100" s="5">
        <f>MAX(ROUND(76*(CY100/L100), 0),1)</f>
        <v>76</v>
      </c>
      <c r="AU100" s="4"/>
      <c r="AV100" s="5">
        <f>MAX(ROUND(76*(CY100/L100), 0),1)</f>
        <v>76</v>
      </c>
      <c r="AW100" s="5">
        <f>MAX(ROUND(76*(CY100/L100), 0),1)</f>
        <v>76</v>
      </c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2">
        <v>342</v>
      </c>
      <c r="CZ100" s="2">
        <f t="shared" si="6"/>
        <v>342</v>
      </c>
      <c r="DA100" s="9">
        <v>9</v>
      </c>
      <c r="DB100" s="9">
        <v>17.989999999999998</v>
      </c>
    </row>
    <row r="101" spans="1:106" ht="60" customHeight="1">
      <c r="A101" s="2" t="s">
        <v>1</v>
      </c>
      <c r="B101" s="2" t="s">
        <v>2</v>
      </c>
      <c r="C101" s="2" t="s">
        <v>3</v>
      </c>
      <c r="D101" s="2"/>
      <c r="E101" s="2" t="s">
        <v>135</v>
      </c>
      <c r="F101" s="2" t="s">
        <v>164</v>
      </c>
      <c r="G101" s="2">
        <v>8</v>
      </c>
      <c r="H101" s="2" t="s">
        <v>59</v>
      </c>
      <c r="I101" s="2" t="s">
        <v>59</v>
      </c>
      <c r="J101" s="2" t="s">
        <v>413</v>
      </c>
      <c r="K101" s="2">
        <v>22638461</v>
      </c>
      <c r="L101" s="3">
        <v>55</v>
      </c>
      <c r="M101" s="4"/>
      <c r="N101" s="4"/>
      <c r="O101" s="4"/>
      <c r="P101" s="4"/>
      <c r="Q101" s="4"/>
      <c r="R101" s="5"/>
      <c r="S101" s="5">
        <f>MAX(ROUND(19*(CY101/L101), 0),1)</f>
        <v>19</v>
      </c>
      <c r="T101" s="5">
        <f>MAX(ROUND(32*(CY101/L101), 0),1)</f>
        <v>32</v>
      </c>
      <c r="U101" s="5">
        <f>MAX(ROUND(4*(CY101/L101), 0),1)</f>
        <v>4</v>
      </c>
      <c r="V101" s="5"/>
      <c r="W101" s="4"/>
      <c r="X101" s="5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2">
        <v>55</v>
      </c>
      <c r="CZ101" s="2">
        <f t="shared" si="6"/>
        <v>55</v>
      </c>
      <c r="DA101" s="9">
        <v>28</v>
      </c>
      <c r="DB101" s="9">
        <v>70</v>
      </c>
    </row>
    <row r="102" spans="1:106" ht="60" customHeight="1">
      <c r="A102" s="2" t="s">
        <v>1</v>
      </c>
      <c r="B102" s="2" t="s">
        <v>2</v>
      </c>
      <c r="C102" s="2" t="s">
        <v>3</v>
      </c>
      <c r="D102" s="2"/>
      <c r="E102" s="2" t="s">
        <v>130</v>
      </c>
      <c r="F102" s="2" t="s">
        <v>12</v>
      </c>
      <c r="G102" s="2">
        <v>8</v>
      </c>
      <c r="H102" s="2" t="s">
        <v>59</v>
      </c>
      <c r="I102" s="2" t="s">
        <v>59</v>
      </c>
      <c r="J102" s="2" t="s">
        <v>409</v>
      </c>
      <c r="K102" s="2">
        <v>22835078</v>
      </c>
      <c r="L102" s="3">
        <v>107</v>
      </c>
      <c r="M102" s="4"/>
      <c r="N102" s="4"/>
      <c r="O102" s="4"/>
      <c r="P102" s="4"/>
      <c r="Q102" s="4"/>
      <c r="R102" s="5">
        <f>MAX(ROUND(4*(CY102/L102), 0),1)</f>
        <v>4</v>
      </c>
      <c r="S102" s="5">
        <f>MAX(ROUND(32*(CY102/L102), 0),1)</f>
        <v>32</v>
      </c>
      <c r="T102" s="5">
        <f>MAX(ROUND(56*(CY102/L102), 0),1)</f>
        <v>56</v>
      </c>
      <c r="U102" s="5">
        <f>MAX(ROUND(15*(CY102/L102), 0),1)</f>
        <v>15</v>
      </c>
      <c r="V102" s="5"/>
      <c r="W102" s="4"/>
      <c r="X102" s="5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2">
        <v>107</v>
      </c>
      <c r="CZ102" s="2">
        <f t="shared" si="6"/>
        <v>107</v>
      </c>
      <c r="DA102" s="9">
        <v>32</v>
      </c>
      <c r="DB102" s="9">
        <v>80</v>
      </c>
    </row>
    <row r="103" spans="1:106" ht="60" customHeight="1">
      <c r="A103" s="2" t="s">
        <v>1</v>
      </c>
      <c r="B103" s="2" t="s">
        <v>2</v>
      </c>
      <c r="C103" s="2" t="s">
        <v>3</v>
      </c>
      <c r="D103" s="2"/>
      <c r="E103" s="2" t="s">
        <v>171</v>
      </c>
      <c r="F103" s="2" t="s">
        <v>172</v>
      </c>
      <c r="G103" s="2">
        <v>2</v>
      </c>
      <c r="H103" s="2" t="s">
        <v>59</v>
      </c>
      <c r="I103" s="2" t="s">
        <v>59</v>
      </c>
      <c r="J103" s="2" t="s">
        <v>409</v>
      </c>
      <c r="K103" s="2">
        <v>22835079</v>
      </c>
      <c r="L103" s="3">
        <v>42</v>
      </c>
      <c r="M103" s="4"/>
      <c r="N103" s="4"/>
      <c r="O103" s="4"/>
      <c r="P103" s="4"/>
      <c r="Q103" s="4"/>
      <c r="R103" s="5"/>
      <c r="S103" s="5">
        <f>MAX(ROUND(20*(CY103/L103), 0),1)</f>
        <v>20</v>
      </c>
      <c r="T103" s="5">
        <f>MAX(ROUND(22*(CY103/L103), 0),1)</f>
        <v>22</v>
      </c>
      <c r="U103" s="5"/>
      <c r="V103" s="5"/>
      <c r="W103" s="4"/>
      <c r="X103" s="5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2">
        <v>42</v>
      </c>
      <c r="CZ103" s="2">
        <f t="shared" si="6"/>
        <v>42</v>
      </c>
      <c r="DA103" s="9">
        <v>34</v>
      </c>
      <c r="DB103" s="9">
        <v>85</v>
      </c>
    </row>
    <row r="104" spans="1:106" ht="60" customHeight="1">
      <c r="A104" s="2" t="s">
        <v>1</v>
      </c>
      <c r="B104" s="2" t="s">
        <v>2</v>
      </c>
      <c r="C104" s="2" t="s">
        <v>3</v>
      </c>
      <c r="D104" s="2"/>
      <c r="E104" s="2" t="s">
        <v>133</v>
      </c>
      <c r="F104" s="2" t="s">
        <v>15</v>
      </c>
      <c r="G104" s="2">
        <v>5</v>
      </c>
      <c r="H104" s="2" t="s">
        <v>59</v>
      </c>
      <c r="I104" s="2" t="s">
        <v>59</v>
      </c>
      <c r="J104" s="2" t="s">
        <v>404</v>
      </c>
      <c r="K104" s="2">
        <v>22835084</v>
      </c>
      <c r="L104" s="3">
        <v>106</v>
      </c>
      <c r="M104" s="4"/>
      <c r="N104" s="4"/>
      <c r="O104" s="4"/>
      <c r="P104" s="4"/>
      <c r="Q104" s="4"/>
      <c r="R104" s="5">
        <f>MAX(ROUND(21*(CY104/L104), 0),1)</f>
        <v>21</v>
      </c>
      <c r="S104" s="5">
        <f>MAX(ROUND(29*(CY104/L104), 0),1)</f>
        <v>29</v>
      </c>
      <c r="T104" s="5">
        <f>MAX(ROUND(36*(CY104/L104), 0),1)</f>
        <v>36</v>
      </c>
      <c r="U104" s="5">
        <f>MAX(ROUND(9*(CY104/L104), 0),1)</f>
        <v>9</v>
      </c>
      <c r="V104" s="5">
        <f>MAX(ROUND(4*(CY104/L104), 0),1)</f>
        <v>4</v>
      </c>
      <c r="W104" s="4"/>
      <c r="X104" s="5">
        <f>MAX(ROUND(7*(CY104/L104), 0),1)</f>
        <v>7</v>
      </c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2">
        <v>106</v>
      </c>
      <c r="CZ104" s="2">
        <f t="shared" si="6"/>
        <v>106</v>
      </c>
      <c r="DA104" s="9">
        <v>20</v>
      </c>
      <c r="DB104" s="9">
        <v>50</v>
      </c>
    </row>
    <row r="105" spans="1:106" ht="60" customHeight="1">
      <c r="A105" s="2" t="s">
        <v>1</v>
      </c>
      <c r="B105" s="2" t="s">
        <v>2</v>
      </c>
      <c r="C105" s="2" t="s">
        <v>3</v>
      </c>
      <c r="D105" s="2"/>
      <c r="E105" s="2" t="s">
        <v>133</v>
      </c>
      <c r="F105" s="2" t="s">
        <v>61</v>
      </c>
      <c r="G105" s="2">
        <v>7</v>
      </c>
      <c r="H105" s="2" t="s">
        <v>59</v>
      </c>
      <c r="I105" s="2" t="s">
        <v>59</v>
      </c>
      <c r="J105" s="2" t="s">
        <v>404</v>
      </c>
      <c r="K105" s="2">
        <v>22835085</v>
      </c>
      <c r="L105" s="3">
        <v>125</v>
      </c>
      <c r="M105" s="4"/>
      <c r="N105" s="4"/>
      <c r="O105" s="4"/>
      <c r="P105" s="4"/>
      <c r="Q105" s="4"/>
      <c r="R105" s="5">
        <f>MAX(ROUND(3*(CY105/L105), 0),1)</f>
        <v>3</v>
      </c>
      <c r="S105" s="5">
        <f>MAX(ROUND(50*(CY105/L105), 0),1)</f>
        <v>50</v>
      </c>
      <c r="T105" s="5">
        <f>MAX(ROUND(48*(CY105/L105), 0),1)</f>
        <v>48</v>
      </c>
      <c r="U105" s="5">
        <f>MAX(ROUND(24*(CY105/L105), 0),1)</f>
        <v>24</v>
      </c>
      <c r="V105" s="5"/>
      <c r="W105" s="4"/>
      <c r="X105" s="5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2">
        <v>125</v>
      </c>
      <c r="CZ105" s="2">
        <f t="shared" si="6"/>
        <v>125</v>
      </c>
      <c r="DA105" s="9">
        <v>20</v>
      </c>
      <c r="DB105" s="9">
        <v>50</v>
      </c>
    </row>
    <row r="106" spans="1:106" ht="60" customHeight="1">
      <c r="A106" s="2" t="s">
        <v>1</v>
      </c>
      <c r="B106" s="2" t="s">
        <v>2</v>
      </c>
      <c r="C106" s="2" t="s">
        <v>3</v>
      </c>
      <c r="D106" s="2"/>
      <c r="E106" s="2" t="s">
        <v>173</v>
      </c>
      <c r="F106" s="2" t="s">
        <v>12</v>
      </c>
      <c r="G106" s="2">
        <v>8</v>
      </c>
      <c r="H106" s="2" t="s">
        <v>59</v>
      </c>
      <c r="I106" s="2" t="s">
        <v>59</v>
      </c>
      <c r="J106" s="2" t="s">
        <v>404</v>
      </c>
      <c r="K106" s="2">
        <v>22835198</v>
      </c>
      <c r="L106" s="3">
        <v>40</v>
      </c>
      <c r="M106" s="4"/>
      <c r="N106" s="4"/>
      <c r="O106" s="4"/>
      <c r="P106" s="4"/>
      <c r="Q106" s="4"/>
      <c r="R106" s="5">
        <f>MAX(ROUND(1*(CY106/L106), 0),1)</f>
        <v>1</v>
      </c>
      <c r="S106" s="5">
        <f>MAX(ROUND(21*(CY106/L106), 0),1)</f>
        <v>21</v>
      </c>
      <c r="T106" s="5">
        <f>MAX(ROUND(18*(CY106/L106), 0),1)</f>
        <v>18</v>
      </c>
      <c r="U106" s="5"/>
      <c r="V106" s="5"/>
      <c r="W106" s="4"/>
      <c r="X106" s="5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2">
        <v>40</v>
      </c>
      <c r="CZ106" s="2">
        <f t="shared" si="6"/>
        <v>40</v>
      </c>
      <c r="DA106" s="9">
        <v>20</v>
      </c>
      <c r="DB106" s="9">
        <v>50</v>
      </c>
    </row>
    <row r="107" spans="1:106" ht="60" customHeight="1">
      <c r="A107" s="2" t="s">
        <v>1</v>
      </c>
      <c r="B107" s="2" t="s">
        <v>109</v>
      </c>
      <c r="C107" s="2" t="s">
        <v>84</v>
      </c>
      <c r="D107" s="2"/>
      <c r="E107" s="2" t="s">
        <v>177</v>
      </c>
      <c r="F107" s="2" t="s">
        <v>117</v>
      </c>
      <c r="G107" s="2">
        <v>114</v>
      </c>
      <c r="H107" s="2" t="s">
        <v>4</v>
      </c>
      <c r="I107" s="2" t="s">
        <v>174</v>
      </c>
      <c r="J107" s="2" t="s">
        <v>421</v>
      </c>
      <c r="K107" s="2">
        <v>23773271</v>
      </c>
      <c r="L107" s="3">
        <v>22</v>
      </c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5">
        <f>MAX(ROUND(2*(CY107/L107), 0),1)</f>
        <v>2</v>
      </c>
      <c r="AW107" s="5">
        <f>MAX(ROUND(1*(CY107/L107), 0),1)</f>
        <v>1</v>
      </c>
      <c r="AX107" s="5">
        <f>MAX(ROUND(2*(CY107/L107), 0),1)</f>
        <v>2</v>
      </c>
      <c r="AY107" s="5">
        <f>MAX(ROUND(3*(CY107/L107), 0),1)</f>
        <v>3</v>
      </c>
      <c r="AZ107" s="5">
        <f>MAX(ROUND(5*(CY107/L107), 0),1)</f>
        <v>5</v>
      </c>
      <c r="BA107" s="5">
        <f>MAX(ROUND(5*(CY107/L107), 0),1)</f>
        <v>5</v>
      </c>
      <c r="BB107" s="5">
        <f>MAX(ROUND(3*(CY107/L107), 0),1)</f>
        <v>3</v>
      </c>
      <c r="BC107" s="5">
        <f>MAX(ROUND(1*(CY107/L107), 0),1)</f>
        <v>1</v>
      </c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2">
        <v>22</v>
      </c>
      <c r="CZ107" s="2">
        <f t="shared" si="6"/>
        <v>22</v>
      </c>
      <c r="DA107" s="9">
        <v>20</v>
      </c>
      <c r="DB107" s="9">
        <v>39.99</v>
      </c>
    </row>
    <row r="108" spans="1:106" ht="60" customHeight="1">
      <c r="A108" s="2" t="s">
        <v>1</v>
      </c>
      <c r="B108" s="2" t="s">
        <v>2</v>
      </c>
      <c r="C108" s="2" t="s">
        <v>179</v>
      </c>
      <c r="D108" s="2"/>
      <c r="E108" s="2" t="s">
        <v>180</v>
      </c>
      <c r="F108" s="2" t="s">
        <v>181</v>
      </c>
      <c r="G108" s="2">
        <v>84</v>
      </c>
      <c r="H108" s="2" t="s">
        <v>4</v>
      </c>
      <c r="I108" s="2" t="s">
        <v>182</v>
      </c>
      <c r="J108" s="2" t="s">
        <v>421</v>
      </c>
      <c r="K108" s="2">
        <v>24910405</v>
      </c>
      <c r="L108" s="3">
        <v>16</v>
      </c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5">
        <f>MAX(ROUND(2*(CY108/L108), 0),1)</f>
        <v>2</v>
      </c>
      <c r="BJ108" s="4"/>
      <c r="BK108" s="5">
        <f>MAX(ROUND(1*(CY108/L108), 0),1)</f>
        <v>1</v>
      </c>
      <c r="BL108" s="4"/>
      <c r="BM108" s="5"/>
      <c r="BN108" s="4"/>
      <c r="BO108" s="5">
        <f>MAX(ROUND(3*(CY108/L108), 0),1)</f>
        <v>3</v>
      </c>
      <c r="BP108" s="5">
        <f>MAX(ROUND(7*(CY108/L108), 0),1)</f>
        <v>7</v>
      </c>
      <c r="BQ108" s="4"/>
      <c r="BR108" s="5"/>
      <c r="BS108" s="4"/>
      <c r="BT108" s="5"/>
      <c r="BU108" s="4"/>
      <c r="BV108" s="5">
        <f>MAX(ROUND(3*(CY108/L108), 0),1)</f>
        <v>3</v>
      </c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2">
        <v>16</v>
      </c>
      <c r="CZ108" s="2">
        <f t="shared" ref="CZ108:CZ125" si="7">SUM(M108:CX108)</f>
        <v>16</v>
      </c>
      <c r="DA108" s="9">
        <v>25</v>
      </c>
      <c r="DB108" s="9">
        <v>49.99</v>
      </c>
    </row>
    <row r="109" spans="1:106" ht="60" customHeight="1">
      <c r="A109" s="2" t="s">
        <v>1</v>
      </c>
      <c r="B109" s="2" t="s">
        <v>109</v>
      </c>
      <c r="C109" s="2" t="s">
        <v>84</v>
      </c>
      <c r="D109" s="2"/>
      <c r="E109" s="2" t="s">
        <v>176</v>
      </c>
      <c r="F109" s="2" t="s">
        <v>183</v>
      </c>
      <c r="G109" s="2">
        <v>84</v>
      </c>
      <c r="H109" s="2" t="s">
        <v>4</v>
      </c>
      <c r="I109" s="2" t="s">
        <v>141</v>
      </c>
      <c r="J109" s="2" t="s">
        <v>421</v>
      </c>
      <c r="K109" s="2">
        <v>24919659</v>
      </c>
      <c r="L109" s="3">
        <v>16</v>
      </c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5"/>
      <c r="AW109" s="5">
        <f>MAX(ROUND(1*(CY109/L109), 0),1)</f>
        <v>1</v>
      </c>
      <c r="AX109" s="5">
        <f>MAX(ROUND(1*(CY109/L109), 0),1)</f>
        <v>1</v>
      </c>
      <c r="AY109" s="5">
        <f>MAX(ROUND(3*(CY109/L109), 0),1)</f>
        <v>3</v>
      </c>
      <c r="AZ109" s="5">
        <f>MAX(ROUND(4*(CY109/L109), 0),1)</f>
        <v>4</v>
      </c>
      <c r="BA109" s="5">
        <f>MAX(ROUND(4*(CY109/L109), 0),1)</f>
        <v>4</v>
      </c>
      <c r="BB109" s="5">
        <f>MAX(ROUND(1*(CY109/L109), 0),1)</f>
        <v>1</v>
      </c>
      <c r="BC109" s="5">
        <f>MAX(ROUND(2*(CY109/L109), 0),1)</f>
        <v>2</v>
      </c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2">
        <v>16</v>
      </c>
      <c r="CZ109" s="2">
        <f t="shared" si="7"/>
        <v>16</v>
      </c>
      <c r="DA109" s="9">
        <v>19</v>
      </c>
      <c r="DB109" s="9">
        <v>37.99</v>
      </c>
    </row>
    <row r="110" spans="1:106" ht="60" customHeight="1">
      <c r="A110" s="2" t="s">
        <v>1</v>
      </c>
      <c r="B110" s="2" t="s">
        <v>2</v>
      </c>
      <c r="C110" s="2" t="s">
        <v>3</v>
      </c>
      <c r="D110" s="2"/>
      <c r="E110" s="2" t="s">
        <v>165</v>
      </c>
      <c r="F110" s="2" t="s">
        <v>12</v>
      </c>
      <c r="G110" s="2">
        <v>8</v>
      </c>
      <c r="H110" s="2" t="s">
        <v>4</v>
      </c>
      <c r="I110" s="2" t="s">
        <v>119</v>
      </c>
      <c r="J110" s="2" t="s">
        <v>414</v>
      </c>
      <c r="K110" s="2">
        <v>24939964</v>
      </c>
      <c r="L110" s="3">
        <v>584</v>
      </c>
      <c r="M110" s="4"/>
      <c r="N110" s="4"/>
      <c r="O110" s="4"/>
      <c r="P110" s="4"/>
      <c r="Q110" s="4"/>
      <c r="R110" s="4"/>
      <c r="S110" s="5">
        <f>MAX(ROUND(156*(CY110/L110), 0),1)</f>
        <v>156</v>
      </c>
      <c r="T110" s="5">
        <f>MAX(ROUND(175*(CY110/L110), 0),1)</f>
        <v>175</v>
      </c>
      <c r="U110" s="5">
        <f>MAX(ROUND(168*(CY110/L110), 0),1)</f>
        <v>168</v>
      </c>
      <c r="V110" s="5">
        <f>MAX(ROUND(72*(CY110/L110), 0),1)</f>
        <v>72</v>
      </c>
      <c r="W110" s="4"/>
      <c r="X110" s="5">
        <f>MAX(ROUND(13*(CY110/L110), 0),1)</f>
        <v>13</v>
      </c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2">
        <v>584</v>
      </c>
      <c r="CZ110" s="2">
        <f t="shared" si="7"/>
        <v>584</v>
      </c>
      <c r="DA110" s="9">
        <v>21.5</v>
      </c>
      <c r="DB110" s="9">
        <v>42.99</v>
      </c>
    </row>
    <row r="111" spans="1:106" ht="60" customHeight="1">
      <c r="A111" s="2" t="s">
        <v>1</v>
      </c>
      <c r="B111" s="2" t="s">
        <v>2</v>
      </c>
      <c r="C111" s="2" t="s">
        <v>3</v>
      </c>
      <c r="D111" s="2"/>
      <c r="E111" s="2" t="s">
        <v>185</v>
      </c>
      <c r="F111" s="2" t="s">
        <v>22</v>
      </c>
      <c r="G111" s="2">
        <v>10</v>
      </c>
      <c r="H111" s="2" t="s">
        <v>4</v>
      </c>
      <c r="I111" s="2" t="s">
        <v>119</v>
      </c>
      <c r="J111" s="2" t="s">
        <v>417</v>
      </c>
      <c r="K111" s="2">
        <v>24939965</v>
      </c>
      <c r="L111" s="3">
        <v>125</v>
      </c>
      <c r="M111" s="4"/>
      <c r="N111" s="4"/>
      <c r="O111" s="4"/>
      <c r="P111" s="4"/>
      <c r="Q111" s="4"/>
      <c r="R111" s="4"/>
      <c r="S111" s="5">
        <f>MAX(ROUND(49*(CY111/L111), 0),1)</f>
        <v>49</v>
      </c>
      <c r="T111" s="5">
        <f>MAX(ROUND(17*(CY111/L111), 0),1)</f>
        <v>17</v>
      </c>
      <c r="U111" s="5">
        <f>MAX(ROUND(18*(CY111/L111), 0),1)</f>
        <v>18</v>
      </c>
      <c r="V111" s="5">
        <f>MAX(ROUND(31*(CY111/L111), 0),1)</f>
        <v>31</v>
      </c>
      <c r="W111" s="4"/>
      <c r="X111" s="5">
        <f>MAX(ROUND(10*(CY111/L111), 0),1)</f>
        <v>10</v>
      </c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2">
        <v>125</v>
      </c>
      <c r="CZ111" s="2">
        <f t="shared" si="7"/>
        <v>125</v>
      </c>
      <c r="DA111" s="9">
        <v>50</v>
      </c>
      <c r="DB111" s="9">
        <v>99.99</v>
      </c>
    </row>
    <row r="112" spans="1:106" ht="60" customHeight="1">
      <c r="A112" s="2" t="s">
        <v>1</v>
      </c>
      <c r="B112" s="2" t="s">
        <v>2</v>
      </c>
      <c r="C112" s="2" t="s">
        <v>3</v>
      </c>
      <c r="D112" s="2"/>
      <c r="E112" s="2" t="s">
        <v>185</v>
      </c>
      <c r="F112" s="2" t="s">
        <v>186</v>
      </c>
      <c r="G112" s="2">
        <v>43</v>
      </c>
      <c r="H112" s="2" t="s">
        <v>4</v>
      </c>
      <c r="I112" s="2" t="s">
        <v>119</v>
      </c>
      <c r="J112" s="2" t="s">
        <v>417</v>
      </c>
      <c r="K112" s="2">
        <v>24939966</v>
      </c>
      <c r="L112" s="3">
        <v>355</v>
      </c>
      <c r="M112" s="4"/>
      <c r="N112" s="4"/>
      <c r="O112" s="4"/>
      <c r="P112" s="4"/>
      <c r="Q112" s="4"/>
      <c r="R112" s="4"/>
      <c r="S112" s="5">
        <f>MAX(ROUND(91*(CY112/L112), 0),1)</f>
        <v>91</v>
      </c>
      <c r="T112" s="5">
        <f>MAX(ROUND(83*(CY112/L112), 0),1)</f>
        <v>83</v>
      </c>
      <c r="U112" s="5">
        <f>MAX(ROUND(80*(CY112/L112), 0),1)</f>
        <v>80</v>
      </c>
      <c r="V112" s="5">
        <f>MAX(ROUND(57*(CY112/L112), 0),1)</f>
        <v>57</v>
      </c>
      <c r="W112" s="4"/>
      <c r="X112" s="5">
        <f>MAX(ROUND(44*(CY112/L112), 0),1)</f>
        <v>44</v>
      </c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2">
        <v>355</v>
      </c>
      <c r="CZ112" s="2">
        <f t="shared" si="7"/>
        <v>355</v>
      </c>
      <c r="DA112" s="9">
        <v>50</v>
      </c>
      <c r="DB112" s="9">
        <v>99.99</v>
      </c>
    </row>
    <row r="113" spans="1:106" ht="60" customHeight="1">
      <c r="A113" s="2" t="s">
        <v>1</v>
      </c>
      <c r="B113" s="2" t="s">
        <v>2</v>
      </c>
      <c r="C113" s="2" t="s">
        <v>3</v>
      </c>
      <c r="D113" s="2"/>
      <c r="E113" s="2" t="s">
        <v>185</v>
      </c>
      <c r="F113" s="2" t="s">
        <v>12</v>
      </c>
      <c r="G113" s="2">
        <v>8</v>
      </c>
      <c r="H113" s="2" t="s">
        <v>4</v>
      </c>
      <c r="I113" s="2" t="s">
        <v>119</v>
      </c>
      <c r="J113" s="2" t="s">
        <v>417</v>
      </c>
      <c r="K113" s="2">
        <v>24939967</v>
      </c>
      <c r="L113" s="3">
        <v>41</v>
      </c>
      <c r="M113" s="4"/>
      <c r="N113" s="4"/>
      <c r="O113" s="4"/>
      <c r="P113" s="4"/>
      <c r="Q113" s="4"/>
      <c r="R113" s="4"/>
      <c r="S113" s="5">
        <f>MAX(ROUND(31*(CY113/L113), 0),1)</f>
        <v>31</v>
      </c>
      <c r="T113" s="5"/>
      <c r="U113" s="5"/>
      <c r="V113" s="5"/>
      <c r="W113" s="4"/>
      <c r="X113" s="5">
        <f>MAX(ROUND(10*(CY113/L113), 0),1)</f>
        <v>10</v>
      </c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2">
        <v>41</v>
      </c>
      <c r="CZ113" s="2">
        <f t="shared" si="7"/>
        <v>41</v>
      </c>
      <c r="DA113" s="9">
        <v>50</v>
      </c>
      <c r="DB113" s="9">
        <v>99.99</v>
      </c>
    </row>
    <row r="114" spans="1:106" ht="60" customHeight="1">
      <c r="A114" s="2" t="s">
        <v>1</v>
      </c>
      <c r="B114" s="2" t="s">
        <v>109</v>
      </c>
      <c r="C114" s="2" t="s">
        <v>84</v>
      </c>
      <c r="D114" s="2"/>
      <c r="E114" s="2" t="s">
        <v>188</v>
      </c>
      <c r="F114" s="2" t="s">
        <v>189</v>
      </c>
      <c r="G114" s="2">
        <v>101</v>
      </c>
      <c r="H114" s="2" t="s">
        <v>4</v>
      </c>
      <c r="I114" s="2" t="s">
        <v>190</v>
      </c>
      <c r="J114" s="2" t="s">
        <v>421</v>
      </c>
      <c r="K114" s="2">
        <v>24988529</v>
      </c>
      <c r="L114" s="3">
        <v>20</v>
      </c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5">
        <f>MAX(ROUND(2*(CY114/L114), 0),1)</f>
        <v>2</v>
      </c>
      <c r="AW114" s="5">
        <f>MAX(ROUND(1*(CY114/L114), 0),1)</f>
        <v>1</v>
      </c>
      <c r="AX114" s="5">
        <f>MAX(ROUND(1*(CY114/L114), 0),1)</f>
        <v>1</v>
      </c>
      <c r="AY114" s="5">
        <f>MAX(ROUND(1*(CY114/L114), 0),1)</f>
        <v>1</v>
      </c>
      <c r="AZ114" s="5">
        <f>MAX(ROUND(5*(CY114/L114), 0),1)</f>
        <v>5</v>
      </c>
      <c r="BA114" s="5">
        <f>MAX(ROUND(5*(CY114/L114), 0),1)</f>
        <v>5</v>
      </c>
      <c r="BB114" s="5">
        <f>MAX(ROUND(4*(CY114/L114), 0),1)</f>
        <v>4</v>
      </c>
      <c r="BC114" s="5">
        <f>MAX(ROUND(1*(CY114/L114), 0),1)</f>
        <v>1</v>
      </c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2">
        <v>20</v>
      </c>
      <c r="CZ114" s="2">
        <f t="shared" si="7"/>
        <v>20</v>
      </c>
      <c r="DA114" s="9">
        <v>20</v>
      </c>
      <c r="DB114" s="9">
        <v>39.99</v>
      </c>
    </row>
    <row r="115" spans="1:106" ht="60" customHeight="1">
      <c r="A115" s="2" t="s">
        <v>1</v>
      </c>
      <c r="B115" s="2" t="s">
        <v>6</v>
      </c>
      <c r="C115" s="2" t="s">
        <v>3</v>
      </c>
      <c r="D115" s="2"/>
      <c r="E115" s="2" t="s">
        <v>193</v>
      </c>
      <c r="F115" s="2" t="s">
        <v>12</v>
      </c>
      <c r="G115" s="2">
        <v>8</v>
      </c>
      <c r="H115" s="2" t="s">
        <v>4</v>
      </c>
      <c r="I115" s="2" t="s">
        <v>106</v>
      </c>
      <c r="J115" s="2" t="s">
        <v>404</v>
      </c>
      <c r="K115" s="2">
        <v>25036074</v>
      </c>
      <c r="L115" s="3">
        <v>18</v>
      </c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5"/>
      <c r="CM115" s="5"/>
      <c r="CN115" s="5"/>
      <c r="CO115" s="4"/>
      <c r="CP115" s="5">
        <f>MAX(ROUND(18*(CY115/L115), 0),1)</f>
        <v>18</v>
      </c>
      <c r="CQ115" s="4"/>
      <c r="CR115" s="5"/>
      <c r="CS115" s="4"/>
      <c r="CT115" s="4"/>
      <c r="CU115" s="5"/>
      <c r="CV115" s="5"/>
      <c r="CW115" s="4"/>
      <c r="CX115" s="4"/>
      <c r="CY115" s="2">
        <v>18</v>
      </c>
      <c r="CZ115" s="2">
        <f t="shared" si="7"/>
        <v>18</v>
      </c>
      <c r="DA115" s="9">
        <v>7.31</v>
      </c>
      <c r="DB115" s="9">
        <v>14.99</v>
      </c>
    </row>
    <row r="116" spans="1:106" ht="60" customHeight="1">
      <c r="A116" s="2" t="s">
        <v>1</v>
      </c>
      <c r="B116" s="2" t="s">
        <v>6</v>
      </c>
      <c r="C116" s="2" t="s">
        <v>3</v>
      </c>
      <c r="D116" s="2"/>
      <c r="E116" s="2" t="s">
        <v>194</v>
      </c>
      <c r="F116" s="2" t="s">
        <v>22</v>
      </c>
      <c r="G116" s="2">
        <v>10</v>
      </c>
      <c r="H116" s="2" t="s">
        <v>4</v>
      </c>
      <c r="I116" s="2" t="s">
        <v>106</v>
      </c>
      <c r="J116" s="2" t="s">
        <v>404</v>
      </c>
      <c r="K116" s="2">
        <v>25036075</v>
      </c>
      <c r="L116" s="3">
        <v>187</v>
      </c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5"/>
      <c r="CM116" s="5"/>
      <c r="CN116" s="5">
        <f>MAX(ROUND(92*(CY116/L116), 0),1)</f>
        <v>92</v>
      </c>
      <c r="CO116" s="4"/>
      <c r="CP116" s="5">
        <f>MAX(ROUND(95*(CY116/L116), 0),1)</f>
        <v>95</v>
      </c>
      <c r="CQ116" s="4"/>
      <c r="CR116" s="5"/>
      <c r="CS116" s="4"/>
      <c r="CT116" s="4"/>
      <c r="CU116" s="5"/>
      <c r="CV116" s="5"/>
      <c r="CW116" s="4"/>
      <c r="CX116" s="4"/>
      <c r="CY116" s="2">
        <v>187</v>
      </c>
      <c r="CZ116" s="2">
        <f t="shared" si="7"/>
        <v>187</v>
      </c>
      <c r="DA116" s="9">
        <v>7.31</v>
      </c>
      <c r="DB116" s="9">
        <v>14.99</v>
      </c>
    </row>
    <row r="117" spans="1:106" ht="60" customHeight="1">
      <c r="A117" s="2" t="s">
        <v>1</v>
      </c>
      <c r="B117" s="2" t="s">
        <v>6</v>
      </c>
      <c r="C117" s="2" t="s">
        <v>3</v>
      </c>
      <c r="D117" s="2"/>
      <c r="E117" s="2" t="s">
        <v>194</v>
      </c>
      <c r="F117" s="2" t="s">
        <v>12</v>
      </c>
      <c r="G117" s="2">
        <v>8</v>
      </c>
      <c r="H117" s="2" t="s">
        <v>4</v>
      </c>
      <c r="I117" s="2" t="s">
        <v>106</v>
      </c>
      <c r="J117" s="2" t="s">
        <v>404</v>
      </c>
      <c r="K117" s="2">
        <v>25036077</v>
      </c>
      <c r="L117" s="3">
        <v>58</v>
      </c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5"/>
      <c r="CM117" s="5"/>
      <c r="CN117" s="5">
        <f>MAX(ROUND(48*(CY117/L117), 0),1)</f>
        <v>48</v>
      </c>
      <c r="CO117" s="4"/>
      <c r="CP117" s="5">
        <f>MAX(ROUND(10*(CY117/L117), 0),1)</f>
        <v>10</v>
      </c>
      <c r="CQ117" s="4"/>
      <c r="CR117" s="5"/>
      <c r="CS117" s="4"/>
      <c r="CT117" s="4"/>
      <c r="CU117" s="5"/>
      <c r="CV117" s="5"/>
      <c r="CW117" s="4"/>
      <c r="CX117" s="4"/>
      <c r="CY117" s="2">
        <v>58</v>
      </c>
      <c r="CZ117" s="2">
        <f t="shared" si="7"/>
        <v>58</v>
      </c>
      <c r="DA117" s="9">
        <v>7.31</v>
      </c>
      <c r="DB117" s="9">
        <v>14.99</v>
      </c>
    </row>
    <row r="118" spans="1:106" ht="60" customHeight="1">
      <c r="A118" s="2" t="s">
        <v>1</v>
      </c>
      <c r="B118" s="2" t="s">
        <v>6</v>
      </c>
      <c r="C118" s="2" t="s">
        <v>3</v>
      </c>
      <c r="D118" s="2"/>
      <c r="E118" s="2" t="s">
        <v>194</v>
      </c>
      <c r="F118" s="2" t="s">
        <v>9</v>
      </c>
      <c r="G118" s="2">
        <v>123</v>
      </c>
      <c r="H118" s="2" t="s">
        <v>4</v>
      </c>
      <c r="I118" s="2" t="s">
        <v>106</v>
      </c>
      <c r="J118" s="2" t="s">
        <v>404</v>
      </c>
      <c r="K118" s="2">
        <v>25036078</v>
      </c>
      <c r="L118" s="3">
        <v>112</v>
      </c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5"/>
      <c r="CM118" s="5"/>
      <c r="CN118" s="5">
        <f>MAX(ROUND(80*(CY118/L118), 0),1)</f>
        <v>80</v>
      </c>
      <c r="CO118" s="4"/>
      <c r="CP118" s="5">
        <f>MAX(ROUND(32*(CY118/L118), 0),1)</f>
        <v>32</v>
      </c>
      <c r="CQ118" s="4"/>
      <c r="CR118" s="5"/>
      <c r="CS118" s="4"/>
      <c r="CT118" s="4"/>
      <c r="CU118" s="5"/>
      <c r="CV118" s="5"/>
      <c r="CW118" s="4"/>
      <c r="CX118" s="4"/>
      <c r="CY118" s="2">
        <v>112</v>
      </c>
      <c r="CZ118" s="2">
        <f t="shared" si="7"/>
        <v>112</v>
      </c>
      <c r="DA118" s="9">
        <v>7.31</v>
      </c>
      <c r="DB118" s="9">
        <v>14.99</v>
      </c>
    </row>
    <row r="119" spans="1:106" ht="60" customHeight="1">
      <c r="A119" s="2" t="s">
        <v>1</v>
      </c>
      <c r="B119" s="2" t="s">
        <v>6</v>
      </c>
      <c r="C119" s="2" t="s">
        <v>3</v>
      </c>
      <c r="D119" s="2"/>
      <c r="E119" s="2" t="s">
        <v>195</v>
      </c>
      <c r="F119" s="2" t="s">
        <v>12</v>
      </c>
      <c r="G119" s="2">
        <v>8</v>
      </c>
      <c r="H119" s="2" t="s">
        <v>4</v>
      </c>
      <c r="I119" s="2" t="s">
        <v>167</v>
      </c>
      <c r="J119" s="2" t="s">
        <v>416</v>
      </c>
      <c r="K119" s="2">
        <v>25036104</v>
      </c>
      <c r="L119" s="3">
        <v>323</v>
      </c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5">
        <f>MAX(ROUND(15*(CY119/L119), 0),1)</f>
        <v>15</v>
      </c>
      <c r="CM119" s="5">
        <f>MAX(ROUND(10*(CY119/L119), 0),1)</f>
        <v>10</v>
      </c>
      <c r="CN119" s="5">
        <f>MAX(ROUND(89*(CY119/L119), 0),1)</f>
        <v>89</v>
      </c>
      <c r="CO119" s="4"/>
      <c r="CP119" s="5">
        <f>MAX(ROUND(97*(CY119/L119), 0),1)</f>
        <v>97</v>
      </c>
      <c r="CQ119" s="4"/>
      <c r="CR119" s="5">
        <f>MAX(ROUND(77*(CY119/L119), 0),1)</f>
        <v>77</v>
      </c>
      <c r="CS119" s="4"/>
      <c r="CT119" s="4"/>
      <c r="CU119" s="5">
        <f>MAX(ROUND(35*(CY119/L119), 0),1)</f>
        <v>35</v>
      </c>
      <c r="CV119" s="5"/>
      <c r="CW119" s="4"/>
      <c r="CX119" s="4"/>
      <c r="CY119" s="2">
        <v>323</v>
      </c>
      <c r="CZ119" s="2">
        <f t="shared" si="7"/>
        <v>323</v>
      </c>
      <c r="DA119" s="9">
        <v>31.7</v>
      </c>
      <c r="DB119" s="9">
        <v>64.989999999999995</v>
      </c>
    </row>
    <row r="120" spans="1:106" ht="60" customHeight="1">
      <c r="A120" s="2" t="s">
        <v>1</v>
      </c>
      <c r="B120" s="2" t="s">
        <v>6</v>
      </c>
      <c r="C120" s="2" t="s">
        <v>3</v>
      </c>
      <c r="D120" s="2"/>
      <c r="E120" s="2" t="s">
        <v>196</v>
      </c>
      <c r="F120" s="2" t="s">
        <v>12</v>
      </c>
      <c r="G120" s="2">
        <v>8</v>
      </c>
      <c r="H120" s="2" t="s">
        <v>4</v>
      </c>
      <c r="I120" s="2" t="s">
        <v>106</v>
      </c>
      <c r="J120" s="2" t="s">
        <v>417</v>
      </c>
      <c r="K120" s="2">
        <v>25036120</v>
      </c>
      <c r="L120" s="3">
        <v>158</v>
      </c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5"/>
      <c r="CM120" s="5"/>
      <c r="CN120" s="5">
        <f>MAX(ROUND(38*(CY120/L120), 0),1)</f>
        <v>38</v>
      </c>
      <c r="CO120" s="4"/>
      <c r="CP120" s="5">
        <f>MAX(ROUND(67*(CY120/L120), 0),1)</f>
        <v>67</v>
      </c>
      <c r="CQ120" s="4"/>
      <c r="CR120" s="5">
        <f>MAX(ROUND(53*(CY120/L120), 0),1)</f>
        <v>53</v>
      </c>
      <c r="CS120" s="4"/>
      <c r="CT120" s="4"/>
      <c r="CU120" s="5"/>
      <c r="CV120" s="5"/>
      <c r="CW120" s="4"/>
      <c r="CX120" s="4"/>
      <c r="CY120" s="2">
        <v>158</v>
      </c>
      <c r="CZ120" s="2">
        <f t="shared" si="7"/>
        <v>158</v>
      </c>
      <c r="DA120" s="9">
        <v>29.26</v>
      </c>
      <c r="DB120" s="9">
        <v>59.99</v>
      </c>
    </row>
    <row r="121" spans="1:106" ht="60" customHeight="1">
      <c r="A121" s="2" t="s">
        <v>1</v>
      </c>
      <c r="B121" s="2" t="s">
        <v>2</v>
      </c>
      <c r="C121" s="2" t="s">
        <v>3</v>
      </c>
      <c r="D121" s="2"/>
      <c r="E121" s="2" t="s">
        <v>197</v>
      </c>
      <c r="F121" s="2" t="s">
        <v>116</v>
      </c>
      <c r="G121" s="2">
        <v>121</v>
      </c>
      <c r="H121" s="2" t="s">
        <v>4</v>
      </c>
      <c r="I121" s="2" t="s">
        <v>10</v>
      </c>
      <c r="J121" s="2" t="s">
        <v>409</v>
      </c>
      <c r="K121" s="2">
        <v>25036129</v>
      </c>
      <c r="L121" s="3">
        <v>62</v>
      </c>
      <c r="M121" s="4"/>
      <c r="N121" s="4"/>
      <c r="O121" s="4"/>
      <c r="P121" s="4"/>
      <c r="Q121" s="4"/>
      <c r="R121" s="4"/>
      <c r="S121" s="4"/>
      <c r="T121" s="5">
        <f>MAX(ROUND(20*(CY121/L121), 0),1)</f>
        <v>20</v>
      </c>
      <c r="U121" s="5">
        <f>MAX(ROUND(18*(CY121/L121), 0),1)</f>
        <v>18</v>
      </c>
      <c r="V121" s="5">
        <f>MAX(ROUND(12*(CY121/L121), 0),1)</f>
        <v>12</v>
      </c>
      <c r="W121" s="4"/>
      <c r="X121" s="5">
        <f>MAX(ROUND(6*(CY121/L121), 0),1)</f>
        <v>6</v>
      </c>
      <c r="Y121" s="5">
        <f>MAX(ROUND(6*(CY121/L121), 0),1)</f>
        <v>6</v>
      </c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2">
        <v>62</v>
      </c>
      <c r="CZ121" s="2">
        <f t="shared" si="7"/>
        <v>62</v>
      </c>
      <c r="DA121" s="9">
        <v>14.63</v>
      </c>
      <c r="DB121" s="9">
        <v>29.99</v>
      </c>
    </row>
    <row r="122" spans="1:106" ht="60" customHeight="1">
      <c r="A122" s="2" t="s">
        <v>1</v>
      </c>
      <c r="B122" s="2" t="s">
        <v>2</v>
      </c>
      <c r="C122" s="2" t="s">
        <v>3</v>
      </c>
      <c r="D122" s="2"/>
      <c r="E122" s="2" t="s">
        <v>92</v>
      </c>
      <c r="F122" s="2" t="s">
        <v>198</v>
      </c>
      <c r="G122" s="2">
        <v>103</v>
      </c>
      <c r="H122" s="2" t="s">
        <v>4</v>
      </c>
      <c r="I122" s="2" t="s">
        <v>10</v>
      </c>
      <c r="J122" s="2" t="s">
        <v>414</v>
      </c>
      <c r="K122" s="2">
        <v>25099875</v>
      </c>
      <c r="L122" s="3">
        <v>782</v>
      </c>
      <c r="M122" s="4"/>
      <c r="N122" s="4"/>
      <c r="O122" s="4"/>
      <c r="P122" s="4"/>
      <c r="Q122" s="4"/>
      <c r="R122" s="5"/>
      <c r="S122" s="5">
        <f>MAX(ROUND(143*(CY122/L122), 0),1)</f>
        <v>143</v>
      </c>
      <c r="T122" s="5">
        <f>MAX(ROUND(230*(CY122/L122), 0),1)</f>
        <v>230</v>
      </c>
      <c r="U122" s="5">
        <f>MAX(ROUND(199*(CY122/L122), 0),1)</f>
        <v>199</v>
      </c>
      <c r="V122" s="5">
        <f>MAX(ROUND(153*(CY122/L122), 0),1)</f>
        <v>153</v>
      </c>
      <c r="W122" s="4"/>
      <c r="X122" s="5">
        <f>MAX(ROUND(54*(CY122/L122), 0),1)</f>
        <v>54</v>
      </c>
      <c r="Y122" s="5">
        <f>MAX(ROUND(3*(CY122/L122), 0),1)</f>
        <v>3</v>
      </c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2">
        <v>782</v>
      </c>
      <c r="CZ122" s="2">
        <f t="shared" si="7"/>
        <v>782</v>
      </c>
      <c r="DA122" s="9">
        <v>16.09</v>
      </c>
      <c r="DB122" s="9">
        <v>32.99</v>
      </c>
    </row>
    <row r="123" spans="1:106" ht="60" customHeight="1">
      <c r="A123" s="2" t="s">
        <v>1</v>
      </c>
      <c r="B123" s="2" t="s">
        <v>6</v>
      </c>
      <c r="C123" s="2" t="s">
        <v>3</v>
      </c>
      <c r="D123" s="2"/>
      <c r="E123" s="2" t="s">
        <v>121</v>
      </c>
      <c r="F123" s="2" t="s">
        <v>199</v>
      </c>
      <c r="G123" s="2">
        <v>103</v>
      </c>
      <c r="H123" s="2" t="s">
        <v>4</v>
      </c>
      <c r="I123" s="2" t="s">
        <v>10</v>
      </c>
      <c r="J123" s="2" t="s">
        <v>404</v>
      </c>
      <c r="K123" s="2">
        <v>25103994</v>
      </c>
      <c r="L123" s="3">
        <v>855</v>
      </c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5"/>
      <c r="CM123" s="5"/>
      <c r="CN123" s="5">
        <f>MAX(ROUND(269*(CY123/L123), 0),1)</f>
        <v>269</v>
      </c>
      <c r="CO123" s="4"/>
      <c r="CP123" s="5">
        <f>MAX(ROUND(390*(CY123/L123), 0),1)</f>
        <v>390</v>
      </c>
      <c r="CQ123" s="4"/>
      <c r="CR123" s="5">
        <f>MAX(ROUND(196*(CY123/L123), 0),1)</f>
        <v>196</v>
      </c>
      <c r="CS123" s="4"/>
      <c r="CT123" s="4"/>
      <c r="CU123" s="5"/>
      <c r="CV123" s="5"/>
      <c r="CW123" s="4"/>
      <c r="CX123" s="4"/>
      <c r="CY123" s="2">
        <v>855</v>
      </c>
      <c r="CZ123" s="2">
        <f t="shared" si="7"/>
        <v>855</v>
      </c>
      <c r="DA123" s="9">
        <v>7.31</v>
      </c>
      <c r="DB123" s="9">
        <v>14.99</v>
      </c>
    </row>
    <row r="124" spans="1:106" ht="60" customHeight="1">
      <c r="A124" s="2" t="s">
        <v>1</v>
      </c>
      <c r="B124" s="2" t="s">
        <v>2</v>
      </c>
      <c r="C124" s="2" t="s">
        <v>3</v>
      </c>
      <c r="D124" s="2"/>
      <c r="E124" s="2" t="s">
        <v>200</v>
      </c>
      <c r="F124" s="2" t="s">
        <v>12</v>
      </c>
      <c r="G124" s="2">
        <v>8</v>
      </c>
      <c r="H124" s="2" t="s">
        <v>4</v>
      </c>
      <c r="I124" s="2" t="s">
        <v>5</v>
      </c>
      <c r="J124" s="2" t="s">
        <v>417</v>
      </c>
      <c r="K124" s="2">
        <v>25123177</v>
      </c>
      <c r="L124" s="3">
        <v>73</v>
      </c>
      <c r="M124" s="4"/>
      <c r="N124" s="4"/>
      <c r="O124" s="4"/>
      <c r="P124" s="4"/>
      <c r="Q124" s="4"/>
      <c r="R124" s="4"/>
      <c r="S124" s="5">
        <f>MAX(ROUND(14*(CY124/L124), 0),1)</f>
        <v>14</v>
      </c>
      <c r="T124" s="5">
        <f>MAX(ROUND(1*(CY124/L124), 0),1)</f>
        <v>1</v>
      </c>
      <c r="U124" s="5">
        <f>MAX(ROUND(26*(CY124/L124), 0),1)</f>
        <v>26</v>
      </c>
      <c r="V124" s="5">
        <f>MAX(ROUND(25*(CY124/L124), 0),1)</f>
        <v>25</v>
      </c>
      <c r="W124" s="4"/>
      <c r="X124" s="5">
        <f>MAX(ROUND(7*(CY124/L124), 0),1)</f>
        <v>7</v>
      </c>
      <c r="Y124" s="5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2">
        <v>73</v>
      </c>
      <c r="CZ124" s="2">
        <f t="shared" si="7"/>
        <v>73</v>
      </c>
      <c r="DA124" s="9">
        <v>46.34</v>
      </c>
      <c r="DB124" s="9">
        <v>94.99</v>
      </c>
    </row>
    <row r="125" spans="1:106" ht="60" customHeight="1">
      <c r="A125" s="2" t="s">
        <v>1</v>
      </c>
      <c r="B125" s="2" t="s">
        <v>6</v>
      </c>
      <c r="C125" s="2" t="s">
        <v>179</v>
      </c>
      <c r="D125" s="2"/>
      <c r="E125" s="2" t="s">
        <v>201</v>
      </c>
      <c r="F125" s="2" t="s">
        <v>187</v>
      </c>
      <c r="G125" s="2">
        <v>82</v>
      </c>
      <c r="H125" s="2" t="s">
        <v>4</v>
      </c>
      <c r="I125" s="2" t="s">
        <v>182</v>
      </c>
      <c r="J125" s="2" t="s">
        <v>421</v>
      </c>
      <c r="K125" s="2">
        <v>25162560</v>
      </c>
      <c r="L125" s="3">
        <v>16</v>
      </c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5">
        <f>MAX(ROUND(6*(CY125/L125), 0),1)</f>
        <v>6</v>
      </c>
      <c r="BE125" s="5">
        <f>MAX(ROUND(8*(CY125/L125), 0),1)</f>
        <v>8</v>
      </c>
      <c r="BF125" s="5">
        <f>MAX(ROUND(2*(CY125/L125), 0),1)</f>
        <v>2</v>
      </c>
      <c r="BG125" s="4"/>
      <c r="BH125" s="5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2">
        <v>16</v>
      </c>
      <c r="CZ125" s="2">
        <f t="shared" si="7"/>
        <v>16</v>
      </c>
      <c r="DA125" s="9">
        <v>21.5</v>
      </c>
      <c r="DB125" s="9">
        <v>42.99</v>
      </c>
    </row>
    <row r="126" spans="1:106" ht="60" customHeight="1">
      <c r="A126" s="2" t="s">
        <v>1</v>
      </c>
      <c r="B126" s="2" t="s">
        <v>2</v>
      </c>
      <c r="C126" s="2" t="s">
        <v>81</v>
      </c>
      <c r="D126" s="2"/>
      <c r="E126" s="2" t="s">
        <v>202</v>
      </c>
      <c r="F126" s="2" t="s">
        <v>203</v>
      </c>
      <c r="G126" s="2">
        <v>1</v>
      </c>
      <c r="H126" s="2" t="s">
        <v>82</v>
      </c>
      <c r="I126" s="2" t="s">
        <v>204</v>
      </c>
      <c r="J126" s="2" t="s">
        <v>412</v>
      </c>
      <c r="K126" s="2">
        <v>26497476</v>
      </c>
      <c r="L126" s="3">
        <v>19</v>
      </c>
      <c r="M126" s="4"/>
      <c r="N126" s="4"/>
      <c r="O126" s="4"/>
      <c r="P126" s="4"/>
      <c r="Q126" s="4"/>
      <c r="R126" s="4"/>
      <c r="S126" s="5"/>
      <c r="T126" s="5"/>
      <c r="U126" s="5"/>
      <c r="V126" s="5"/>
      <c r="W126" s="4"/>
      <c r="X126" s="5">
        <f>MAX(ROUND(5*(CY126/L126), 0),1)</f>
        <v>5</v>
      </c>
      <c r="Y126" s="5">
        <f>MAX(ROUND(9*(CY126/L126), 0),1)</f>
        <v>9</v>
      </c>
      <c r="Z126" s="5">
        <f>MAX(ROUND(5*(CY126/L126), 0),1)</f>
        <v>5</v>
      </c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2">
        <v>19</v>
      </c>
      <c r="CZ126" s="2">
        <f t="shared" ref="CZ126:CZ152" si="8">SUM(M126:CX126)</f>
        <v>19</v>
      </c>
      <c r="DA126" s="9">
        <v>37.5</v>
      </c>
      <c r="DB126" s="9">
        <v>75</v>
      </c>
    </row>
    <row r="127" spans="1:106" ht="60" customHeight="1">
      <c r="A127" s="2" t="s">
        <v>1</v>
      </c>
      <c r="B127" s="2" t="s">
        <v>2</v>
      </c>
      <c r="C127" s="2" t="s">
        <v>126</v>
      </c>
      <c r="D127" s="2"/>
      <c r="E127" s="2" t="s">
        <v>205</v>
      </c>
      <c r="F127" s="2" t="s">
        <v>206</v>
      </c>
      <c r="G127" s="2">
        <v>1</v>
      </c>
      <c r="H127" s="2" t="s">
        <v>82</v>
      </c>
      <c r="I127" s="2" t="s">
        <v>207</v>
      </c>
      <c r="J127" s="2" t="s">
        <v>412</v>
      </c>
      <c r="K127" s="2">
        <v>26521963</v>
      </c>
      <c r="L127" s="3">
        <v>27</v>
      </c>
      <c r="M127" s="4"/>
      <c r="N127" s="4"/>
      <c r="O127" s="4"/>
      <c r="P127" s="4"/>
      <c r="Q127" s="4"/>
      <c r="R127" s="4"/>
      <c r="S127" s="5">
        <f>MAX(ROUND(8*(CY127/L127), 0),1)</f>
        <v>8</v>
      </c>
      <c r="T127" s="5">
        <f>MAX(ROUND(12*(CY127/L127), 0),1)</f>
        <v>12</v>
      </c>
      <c r="U127" s="5">
        <f>MAX(ROUND(5*(CY127/L127), 0),1)</f>
        <v>5</v>
      </c>
      <c r="V127" s="5">
        <f>MAX(ROUND(2*(CY127/L127), 0),1)</f>
        <v>2</v>
      </c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2">
        <v>27</v>
      </c>
      <c r="CZ127" s="2">
        <f t="shared" si="8"/>
        <v>27</v>
      </c>
      <c r="DA127" s="9">
        <v>45</v>
      </c>
      <c r="DB127" s="9">
        <v>90</v>
      </c>
    </row>
    <row r="128" spans="1:106" ht="60" customHeight="1">
      <c r="A128" s="2" t="s">
        <v>1</v>
      </c>
      <c r="B128" s="2" t="s">
        <v>2</v>
      </c>
      <c r="C128" s="2" t="s">
        <v>81</v>
      </c>
      <c r="D128" s="2"/>
      <c r="E128" s="2" t="s">
        <v>208</v>
      </c>
      <c r="F128" s="2" t="s">
        <v>12</v>
      </c>
      <c r="G128" s="2">
        <v>8</v>
      </c>
      <c r="H128" s="2" t="s">
        <v>82</v>
      </c>
      <c r="I128" s="2" t="s">
        <v>204</v>
      </c>
      <c r="J128" s="2" t="s">
        <v>413</v>
      </c>
      <c r="K128" s="2">
        <v>26521972</v>
      </c>
      <c r="L128" s="3">
        <v>19</v>
      </c>
      <c r="M128" s="4"/>
      <c r="N128" s="4"/>
      <c r="O128" s="4"/>
      <c r="P128" s="4"/>
      <c r="Q128" s="4"/>
      <c r="R128" s="5"/>
      <c r="S128" s="5">
        <f>MAX(ROUND(4*(CY128/L128), 0),1)</f>
        <v>4</v>
      </c>
      <c r="T128" s="5">
        <f>MAX(ROUND(7*(CY128/L128), 0),1)</f>
        <v>7</v>
      </c>
      <c r="U128" s="5"/>
      <c r="V128" s="5">
        <f>MAX(ROUND(5*(CY128/L128), 0),1)</f>
        <v>5</v>
      </c>
      <c r="W128" s="4"/>
      <c r="X128" s="5">
        <f>MAX(ROUND(3*(CY128/L128), 0),1)</f>
        <v>3</v>
      </c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2">
        <v>19</v>
      </c>
      <c r="CZ128" s="2">
        <f t="shared" si="8"/>
        <v>19</v>
      </c>
      <c r="DA128" s="9">
        <v>25</v>
      </c>
      <c r="DB128" s="9">
        <v>50</v>
      </c>
    </row>
    <row r="129" spans="1:106" ht="60" customHeight="1">
      <c r="A129" s="2" t="s">
        <v>1</v>
      </c>
      <c r="B129" s="2" t="s">
        <v>2</v>
      </c>
      <c r="C129" s="2" t="s">
        <v>126</v>
      </c>
      <c r="D129" s="2"/>
      <c r="E129" s="2" t="s">
        <v>209</v>
      </c>
      <c r="F129" s="2" t="s">
        <v>128</v>
      </c>
      <c r="G129" s="2">
        <v>1</v>
      </c>
      <c r="H129" s="2" t="s">
        <v>82</v>
      </c>
      <c r="I129" s="2" t="s">
        <v>129</v>
      </c>
      <c r="J129" s="2" t="s">
        <v>412</v>
      </c>
      <c r="K129" s="2">
        <v>26571692</v>
      </c>
      <c r="L129" s="3">
        <v>19</v>
      </c>
      <c r="M129" s="4"/>
      <c r="N129" s="4"/>
      <c r="O129" s="4"/>
      <c r="P129" s="4"/>
      <c r="Q129" s="4"/>
      <c r="R129" s="4"/>
      <c r="S129" s="5"/>
      <c r="T129" s="5"/>
      <c r="U129" s="5"/>
      <c r="V129" s="5">
        <f>MAX(ROUND(3*(CY129/L129), 0),1)</f>
        <v>3</v>
      </c>
      <c r="W129" s="4"/>
      <c r="X129" s="5">
        <f>MAX(ROUND(8*(CY129/L129), 0),1)</f>
        <v>8</v>
      </c>
      <c r="Y129" s="5">
        <f>MAX(ROUND(8*(CY129/L129), 0),1)</f>
        <v>8</v>
      </c>
      <c r="Z129" s="5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2">
        <v>19</v>
      </c>
      <c r="CZ129" s="2">
        <f t="shared" si="8"/>
        <v>19</v>
      </c>
      <c r="DA129" s="9">
        <v>37.5</v>
      </c>
      <c r="DB129" s="9">
        <v>75</v>
      </c>
    </row>
    <row r="130" spans="1:106" ht="60" customHeight="1">
      <c r="A130" s="2" t="s">
        <v>1</v>
      </c>
      <c r="B130" s="2" t="s">
        <v>2</v>
      </c>
      <c r="C130" s="2" t="s">
        <v>126</v>
      </c>
      <c r="D130" s="2"/>
      <c r="E130" s="2" t="s">
        <v>210</v>
      </c>
      <c r="F130" s="2" t="s">
        <v>128</v>
      </c>
      <c r="G130" s="2">
        <v>1</v>
      </c>
      <c r="H130" s="2" t="s">
        <v>82</v>
      </c>
      <c r="I130" s="2" t="s">
        <v>129</v>
      </c>
      <c r="J130" s="2" t="s">
        <v>412</v>
      </c>
      <c r="K130" s="2">
        <v>26571693</v>
      </c>
      <c r="L130" s="3">
        <v>18</v>
      </c>
      <c r="M130" s="4"/>
      <c r="N130" s="4"/>
      <c r="O130" s="4"/>
      <c r="P130" s="4"/>
      <c r="Q130" s="4"/>
      <c r="R130" s="4"/>
      <c r="S130" s="5"/>
      <c r="T130" s="5"/>
      <c r="U130" s="5"/>
      <c r="V130" s="5">
        <f>MAX(ROUND(7*(CY130/L130), 0),1)</f>
        <v>7</v>
      </c>
      <c r="W130" s="4"/>
      <c r="X130" s="5">
        <f>MAX(ROUND(5*(CY130/L130), 0),1)</f>
        <v>5</v>
      </c>
      <c r="Y130" s="5">
        <f>MAX(ROUND(6*(CY130/L130), 0),1)</f>
        <v>6</v>
      </c>
      <c r="Z130" s="5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2">
        <v>18</v>
      </c>
      <c r="CZ130" s="2">
        <f t="shared" si="8"/>
        <v>18</v>
      </c>
      <c r="DA130" s="9">
        <v>45</v>
      </c>
      <c r="DB130" s="9">
        <v>90</v>
      </c>
    </row>
    <row r="131" spans="1:106" ht="60" customHeight="1">
      <c r="A131" s="2" t="s">
        <v>1</v>
      </c>
      <c r="B131" s="2" t="s">
        <v>6</v>
      </c>
      <c r="C131" s="2" t="s">
        <v>126</v>
      </c>
      <c r="D131" s="2"/>
      <c r="E131" s="2" t="s">
        <v>211</v>
      </c>
      <c r="F131" s="2" t="s">
        <v>128</v>
      </c>
      <c r="G131" s="2">
        <v>1</v>
      </c>
      <c r="H131" s="2" t="s">
        <v>82</v>
      </c>
      <c r="I131" s="2" t="s">
        <v>129</v>
      </c>
      <c r="J131" s="2" t="s">
        <v>402</v>
      </c>
      <c r="K131" s="2">
        <v>26571700</v>
      </c>
      <c r="L131" s="3">
        <v>15</v>
      </c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5">
        <f>MAX(ROUND(1*(CY131/L131), 0),1)</f>
        <v>1</v>
      </c>
      <c r="CP131" s="4"/>
      <c r="CQ131" s="5">
        <f>MAX(ROUND(1*(CY131/L131), 0),1)</f>
        <v>1</v>
      </c>
      <c r="CR131" s="4"/>
      <c r="CS131" s="5">
        <f>MAX(ROUND(7*(CY131/L131), 0),1)</f>
        <v>7</v>
      </c>
      <c r="CT131" s="5">
        <f>MAX(ROUND(6*(CY131/L131), 0),1)</f>
        <v>6</v>
      </c>
      <c r="CU131" s="4"/>
      <c r="CV131" s="4"/>
      <c r="CW131" s="4"/>
      <c r="CX131" s="4"/>
      <c r="CY131" s="2">
        <v>15</v>
      </c>
      <c r="CZ131" s="2">
        <f t="shared" si="8"/>
        <v>15</v>
      </c>
      <c r="DA131" s="9">
        <v>27.5</v>
      </c>
      <c r="DB131" s="9">
        <v>55</v>
      </c>
    </row>
    <row r="132" spans="1:106" ht="60" customHeight="1">
      <c r="A132" s="2" t="s">
        <v>1</v>
      </c>
      <c r="B132" s="2" t="s">
        <v>2</v>
      </c>
      <c r="C132" s="2" t="s">
        <v>126</v>
      </c>
      <c r="D132" s="2"/>
      <c r="E132" s="2" t="s">
        <v>211</v>
      </c>
      <c r="F132" s="2" t="s">
        <v>128</v>
      </c>
      <c r="G132" s="2">
        <v>1</v>
      </c>
      <c r="H132" s="2" t="s">
        <v>82</v>
      </c>
      <c r="I132" s="2" t="s">
        <v>129</v>
      </c>
      <c r="J132" s="2" t="s">
        <v>402</v>
      </c>
      <c r="K132" s="2">
        <v>26571701</v>
      </c>
      <c r="L132" s="3">
        <v>31</v>
      </c>
      <c r="M132" s="4"/>
      <c r="N132" s="4"/>
      <c r="O132" s="4"/>
      <c r="P132" s="4"/>
      <c r="Q132" s="4"/>
      <c r="R132" s="4"/>
      <c r="S132" s="5">
        <f>MAX(ROUND(8*(CY132/L132), 0),1)</f>
        <v>8</v>
      </c>
      <c r="T132" s="5">
        <f>MAX(ROUND(9*(CY132/L132), 0),1)</f>
        <v>9</v>
      </c>
      <c r="U132" s="5">
        <f>MAX(ROUND(8*(CY132/L132), 0),1)</f>
        <v>8</v>
      </c>
      <c r="V132" s="5">
        <f>MAX(ROUND(5*(CY132/L132), 0),1)</f>
        <v>5</v>
      </c>
      <c r="W132" s="4"/>
      <c r="X132" s="5">
        <f>MAX(ROUND(1*(CY132/L132), 0),1)</f>
        <v>1</v>
      </c>
      <c r="Y132" s="5"/>
      <c r="Z132" s="5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2">
        <v>31</v>
      </c>
      <c r="CZ132" s="2">
        <f t="shared" si="8"/>
        <v>31</v>
      </c>
      <c r="DA132" s="9">
        <v>32.5</v>
      </c>
      <c r="DB132" s="9">
        <v>65</v>
      </c>
    </row>
    <row r="133" spans="1:106" ht="60" customHeight="1">
      <c r="A133" s="2" t="s">
        <v>1</v>
      </c>
      <c r="B133" s="2" t="s">
        <v>6</v>
      </c>
      <c r="C133" s="2" t="s">
        <v>126</v>
      </c>
      <c r="D133" s="2"/>
      <c r="E133" s="2" t="s">
        <v>127</v>
      </c>
      <c r="F133" s="2" t="s">
        <v>128</v>
      </c>
      <c r="G133" s="2">
        <v>1</v>
      </c>
      <c r="H133" s="2" t="s">
        <v>82</v>
      </c>
      <c r="I133" s="2" t="s">
        <v>129</v>
      </c>
      <c r="J133" s="2" t="s">
        <v>402</v>
      </c>
      <c r="K133" s="2">
        <v>26571702</v>
      </c>
      <c r="L133" s="3">
        <v>24</v>
      </c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5">
        <f>MAX(ROUND(2*(CY133/L133), 0),1)</f>
        <v>2</v>
      </c>
      <c r="CP133" s="4"/>
      <c r="CQ133" s="5">
        <f>MAX(ROUND(1*(CY133/L133), 0),1)</f>
        <v>1</v>
      </c>
      <c r="CR133" s="4"/>
      <c r="CS133" s="5">
        <f>MAX(ROUND(11*(CY133/L133), 0),1)</f>
        <v>11</v>
      </c>
      <c r="CT133" s="5">
        <f>MAX(ROUND(10*(CY133/L133), 0),1)</f>
        <v>10</v>
      </c>
      <c r="CU133" s="4"/>
      <c r="CV133" s="4"/>
      <c r="CW133" s="4"/>
      <c r="CX133" s="4"/>
      <c r="CY133" s="2">
        <v>24</v>
      </c>
      <c r="CZ133" s="2">
        <f t="shared" si="8"/>
        <v>24</v>
      </c>
      <c r="DA133" s="9">
        <v>27.5</v>
      </c>
      <c r="DB133" s="9">
        <v>55</v>
      </c>
    </row>
    <row r="134" spans="1:106" ht="60" customHeight="1">
      <c r="A134" s="2" t="s">
        <v>1</v>
      </c>
      <c r="B134" s="2" t="s">
        <v>2</v>
      </c>
      <c r="C134" s="2" t="s">
        <v>126</v>
      </c>
      <c r="D134" s="2"/>
      <c r="E134" s="2" t="s">
        <v>212</v>
      </c>
      <c r="F134" s="2" t="s">
        <v>213</v>
      </c>
      <c r="G134" s="2">
        <v>3</v>
      </c>
      <c r="H134" s="2" t="s">
        <v>82</v>
      </c>
      <c r="I134" s="2" t="s">
        <v>129</v>
      </c>
      <c r="J134" s="2" t="s">
        <v>411</v>
      </c>
      <c r="K134" s="2">
        <v>26571709</v>
      </c>
      <c r="L134" s="3">
        <v>14</v>
      </c>
      <c r="M134" s="4"/>
      <c r="N134" s="4"/>
      <c r="O134" s="4"/>
      <c r="P134" s="4"/>
      <c r="Q134" s="4"/>
      <c r="R134" s="4"/>
      <c r="S134" s="5">
        <f>MAX(ROUND(1*(CY134/L134), 0),1)</f>
        <v>1</v>
      </c>
      <c r="T134" s="5">
        <f>MAX(ROUND(2*(CY134/L134), 0),1)</f>
        <v>2</v>
      </c>
      <c r="U134" s="5">
        <f>MAX(ROUND(3*(CY134/L134), 0),1)</f>
        <v>3</v>
      </c>
      <c r="V134" s="5">
        <f>MAX(ROUND(4*(CY134/L134), 0),1)</f>
        <v>4</v>
      </c>
      <c r="W134" s="4"/>
      <c r="X134" s="5">
        <f>MAX(ROUND(3*(CY134/L134), 0),1)</f>
        <v>3</v>
      </c>
      <c r="Y134" s="5">
        <f>MAX(ROUND(1*(CY134/L134), 0),1)</f>
        <v>1</v>
      </c>
      <c r="Z134" s="5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2">
        <v>14</v>
      </c>
      <c r="CZ134" s="2">
        <f t="shared" si="8"/>
        <v>14</v>
      </c>
      <c r="DA134" s="9">
        <v>60</v>
      </c>
      <c r="DB134" s="9">
        <v>120</v>
      </c>
    </row>
    <row r="135" spans="1:106" ht="60" customHeight="1">
      <c r="A135" s="2" t="s">
        <v>1</v>
      </c>
      <c r="B135" s="2" t="s">
        <v>2</v>
      </c>
      <c r="C135" s="2" t="s">
        <v>126</v>
      </c>
      <c r="D135" s="2"/>
      <c r="E135" s="2" t="s">
        <v>214</v>
      </c>
      <c r="F135" s="2" t="s">
        <v>128</v>
      </c>
      <c r="G135" s="2">
        <v>1</v>
      </c>
      <c r="H135" s="2" t="s">
        <v>82</v>
      </c>
      <c r="I135" s="2" t="s">
        <v>215</v>
      </c>
      <c r="J135" s="2" t="s">
        <v>412</v>
      </c>
      <c r="K135" s="2">
        <v>26571739</v>
      </c>
      <c r="L135" s="3">
        <v>28</v>
      </c>
      <c r="M135" s="4"/>
      <c r="N135" s="4"/>
      <c r="O135" s="4"/>
      <c r="P135" s="4"/>
      <c r="Q135" s="4"/>
      <c r="R135" s="4"/>
      <c r="S135" s="5">
        <f>MAX(ROUND(4*(CY135/L135), 0),1)</f>
        <v>4</v>
      </c>
      <c r="T135" s="5">
        <f>MAX(ROUND(6*(CY135/L135), 0),1)</f>
        <v>6</v>
      </c>
      <c r="U135" s="5">
        <f>MAX(ROUND(7*(CY135/L135), 0),1)</f>
        <v>7</v>
      </c>
      <c r="V135" s="5">
        <f>MAX(ROUND(7*(CY135/L135), 0),1)</f>
        <v>7</v>
      </c>
      <c r="W135" s="4"/>
      <c r="X135" s="5">
        <f>MAX(ROUND(4*(CY135/L135), 0),1)</f>
        <v>4</v>
      </c>
      <c r="Y135" s="5"/>
      <c r="Z135" s="5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2">
        <v>28</v>
      </c>
      <c r="CZ135" s="2">
        <f t="shared" si="8"/>
        <v>28</v>
      </c>
      <c r="DA135" s="9">
        <v>60</v>
      </c>
      <c r="DB135" s="9">
        <v>120</v>
      </c>
    </row>
    <row r="136" spans="1:106" ht="60" customHeight="1">
      <c r="A136" s="2" t="s">
        <v>1</v>
      </c>
      <c r="B136" s="2" t="s">
        <v>2</v>
      </c>
      <c r="C136" s="2" t="s">
        <v>179</v>
      </c>
      <c r="D136" s="2"/>
      <c r="E136" s="2" t="s">
        <v>180</v>
      </c>
      <c r="F136" s="2" t="s">
        <v>181</v>
      </c>
      <c r="G136" s="2">
        <v>84</v>
      </c>
      <c r="H136" s="2" t="s">
        <v>4</v>
      </c>
      <c r="I136" s="2" t="s">
        <v>182</v>
      </c>
      <c r="J136" s="2" t="s">
        <v>421</v>
      </c>
      <c r="K136" s="2">
        <v>26653941</v>
      </c>
      <c r="L136" s="3">
        <v>75</v>
      </c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5">
        <f>MAX(ROUND(5*(CY136/L136), 0),1)</f>
        <v>5</v>
      </c>
      <c r="BJ136" s="4"/>
      <c r="BK136" s="5">
        <f>MAX(ROUND(5*(CY136/L136), 0),1)</f>
        <v>5</v>
      </c>
      <c r="BL136" s="4"/>
      <c r="BM136" s="5">
        <f>MAX(ROUND(15*(CY136/L136), 0),1)</f>
        <v>15</v>
      </c>
      <c r="BN136" s="4"/>
      <c r="BO136" s="5">
        <f>MAX(ROUND(15*(CY136/L136), 0),1)</f>
        <v>15</v>
      </c>
      <c r="BP136" s="5">
        <f>MAX(ROUND(15*(CY136/L136), 0),1)</f>
        <v>15</v>
      </c>
      <c r="BQ136" s="4"/>
      <c r="BR136" s="5">
        <f>MAX(ROUND(10*(CY136/L136), 0),1)</f>
        <v>10</v>
      </c>
      <c r="BS136" s="4"/>
      <c r="BT136" s="5">
        <f>MAX(ROUND(5*(CY136/L136), 0),1)</f>
        <v>5</v>
      </c>
      <c r="BU136" s="4"/>
      <c r="BV136" s="5">
        <f>MAX(ROUND(5*(CY136/L136), 0),1)</f>
        <v>5</v>
      </c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2">
        <v>75</v>
      </c>
      <c r="CZ136" s="2">
        <f t="shared" si="8"/>
        <v>75</v>
      </c>
      <c r="DA136" s="9">
        <v>25</v>
      </c>
      <c r="DB136" s="9">
        <v>49.99</v>
      </c>
    </row>
    <row r="137" spans="1:106" ht="60" customHeight="1">
      <c r="A137" s="2" t="s">
        <v>1</v>
      </c>
      <c r="B137" s="2" t="s">
        <v>6</v>
      </c>
      <c r="C137" s="2" t="s">
        <v>179</v>
      </c>
      <c r="D137" s="2"/>
      <c r="E137" s="2" t="s">
        <v>201</v>
      </c>
      <c r="F137" s="2" t="s">
        <v>216</v>
      </c>
      <c r="G137" s="2">
        <v>82</v>
      </c>
      <c r="H137" s="2" t="s">
        <v>4</v>
      </c>
      <c r="I137" s="2" t="s">
        <v>182</v>
      </c>
      <c r="J137" s="2" t="s">
        <v>421</v>
      </c>
      <c r="K137" s="2">
        <v>26679086</v>
      </c>
      <c r="L137" s="3">
        <v>1044</v>
      </c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5">
        <f>MAX(ROUND(348*(CY137/L137), 0),1)</f>
        <v>348</v>
      </c>
      <c r="BE137" s="5">
        <f>MAX(ROUND(348*(CY137/L137), 0),1)</f>
        <v>348</v>
      </c>
      <c r="BF137" s="5">
        <f>MAX(ROUND(174*(CY137/L137), 0),1)</f>
        <v>174</v>
      </c>
      <c r="BG137" s="4"/>
      <c r="BH137" s="5">
        <f>MAX(ROUND(174*(CY137/L137), 0),1)</f>
        <v>174</v>
      </c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2">
        <v>1044</v>
      </c>
      <c r="CZ137" s="2">
        <f t="shared" si="8"/>
        <v>1044</v>
      </c>
      <c r="DA137" s="9">
        <v>21.5</v>
      </c>
      <c r="DB137" s="9">
        <v>42.99</v>
      </c>
    </row>
    <row r="138" spans="1:106" ht="60" customHeight="1">
      <c r="A138" s="2" t="s">
        <v>1</v>
      </c>
      <c r="B138" s="2" t="s">
        <v>109</v>
      </c>
      <c r="C138" s="2" t="s">
        <v>84</v>
      </c>
      <c r="D138" s="2"/>
      <c r="E138" s="2" t="s">
        <v>188</v>
      </c>
      <c r="F138" s="2" t="s">
        <v>189</v>
      </c>
      <c r="G138" s="2">
        <v>101</v>
      </c>
      <c r="H138" s="2" t="s">
        <v>4</v>
      </c>
      <c r="I138" s="2" t="s">
        <v>174</v>
      </c>
      <c r="J138" s="2" t="s">
        <v>421</v>
      </c>
      <c r="K138" s="2">
        <v>26679325</v>
      </c>
      <c r="L138" s="3">
        <v>300</v>
      </c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5">
        <f>MAX(ROUND(20*(CY138/L138), 0),1)</f>
        <v>20</v>
      </c>
      <c r="AW138" s="5">
        <f>MAX(ROUND(20*(CY138/L138), 0),1)</f>
        <v>20</v>
      </c>
      <c r="AX138" s="5">
        <f>MAX(ROUND(20*(CY138/L138), 0),1)</f>
        <v>20</v>
      </c>
      <c r="AY138" s="5">
        <f>MAX(ROUND(40*(CY138/L138), 0),1)</f>
        <v>40</v>
      </c>
      <c r="AZ138" s="5">
        <f>MAX(ROUND(60*(CY138/L138), 0),1)</f>
        <v>60</v>
      </c>
      <c r="BA138" s="5">
        <f>MAX(ROUND(60*(CY138/L138), 0),1)</f>
        <v>60</v>
      </c>
      <c r="BB138" s="5">
        <f>MAX(ROUND(40*(CY138/L138), 0),1)</f>
        <v>40</v>
      </c>
      <c r="BC138" s="5">
        <f>MAX(ROUND(40*(CY138/L138), 0),1)</f>
        <v>40</v>
      </c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2">
        <v>300</v>
      </c>
      <c r="CZ138" s="2">
        <f t="shared" si="8"/>
        <v>300</v>
      </c>
      <c r="DA138" s="9">
        <v>20</v>
      </c>
      <c r="DB138" s="9">
        <v>39.99</v>
      </c>
    </row>
    <row r="139" spans="1:106" ht="60" customHeight="1">
      <c r="A139" s="2" t="s">
        <v>1</v>
      </c>
      <c r="B139" s="2" t="s">
        <v>6</v>
      </c>
      <c r="C139" s="2" t="s">
        <v>84</v>
      </c>
      <c r="D139" s="2"/>
      <c r="E139" s="2" t="s">
        <v>191</v>
      </c>
      <c r="F139" s="2" t="s">
        <v>192</v>
      </c>
      <c r="G139" s="2">
        <v>103</v>
      </c>
      <c r="H139" s="2" t="s">
        <v>4</v>
      </c>
      <c r="I139" s="2" t="s">
        <v>141</v>
      </c>
      <c r="J139" s="2" t="s">
        <v>421</v>
      </c>
      <c r="K139" s="2">
        <v>26697043</v>
      </c>
      <c r="L139" s="3">
        <v>90</v>
      </c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5">
        <f>MAX(ROUND(24*(CY139/L139), 0),1)</f>
        <v>24</v>
      </c>
      <c r="BE139" s="5">
        <f>MAX(ROUND(24*(CY139/L139), 0),1)</f>
        <v>24</v>
      </c>
      <c r="BF139" s="5">
        <f>MAX(ROUND(24*(CY139/L139), 0),1)</f>
        <v>24</v>
      </c>
      <c r="BG139" s="4"/>
      <c r="BH139" s="5">
        <f>MAX(ROUND(18*(CY139/L139), 0),1)</f>
        <v>18</v>
      </c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2">
        <v>90</v>
      </c>
      <c r="CZ139" s="2">
        <f t="shared" si="8"/>
        <v>90</v>
      </c>
      <c r="DA139" s="9">
        <v>20</v>
      </c>
      <c r="DB139" s="9">
        <v>39.99</v>
      </c>
    </row>
    <row r="140" spans="1:106" ht="60" customHeight="1">
      <c r="A140" s="2" t="s">
        <v>1</v>
      </c>
      <c r="B140" s="2" t="s">
        <v>6</v>
      </c>
      <c r="C140" s="2" t="s">
        <v>84</v>
      </c>
      <c r="D140" s="2"/>
      <c r="E140" s="2" t="s">
        <v>191</v>
      </c>
      <c r="F140" s="2" t="s">
        <v>183</v>
      </c>
      <c r="G140" s="2">
        <v>83</v>
      </c>
      <c r="H140" s="2" t="s">
        <v>4</v>
      </c>
      <c r="I140" s="2" t="s">
        <v>141</v>
      </c>
      <c r="J140" s="2" t="s">
        <v>421</v>
      </c>
      <c r="K140" s="2">
        <v>26697045</v>
      </c>
      <c r="L140" s="3">
        <v>1305</v>
      </c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5">
        <f>MAX(ROUND(348*(CY140/L140), 0),1)</f>
        <v>348</v>
      </c>
      <c r="BE140" s="5">
        <f>MAX(ROUND(348*(CY140/L140), 0),1)</f>
        <v>348</v>
      </c>
      <c r="BF140" s="5">
        <f>MAX(ROUND(348*(CY140/L140), 0),1)</f>
        <v>348</v>
      </c>
      <c r="BG140" s="4"/>
      <c r="BH140" s="5">
        <f>MAX(ROUND(261*(CY140/L140), 0),1)</f>
        <v>261</v>
      </c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2">
        <v>1305</v>
      </c>
      <c r="CZ140" s="2">
        <f t="shared" si="8"/>
        <v>1305</v>
      </c>
      <c r="DA140" s="9">
        <v>20</v>
      </c>
      <c r="DB140" s="9">
        <v>39.99</v>
      </c>
    </row>
    <row r="141" spans="1:106" ht="60" customHeight="1">
      <c r="A141" s="2" t="s">
        <v>1</v>
      </c>
      <c r="B141" s="2" t="s">
        <v>109</v>
      </c>
      <c r="C141" s="2" t="s">
        <v>84</v>
      </c>
      <c r="D141" s="2"/>
      <c r="E141" s="2" t="s">
        <v>176</v>
      </c>
      <c r="F141" s="2" t="s">
        <v>183</v>
      </c>
      <c r="G141" s="2">
        <v>84</v>
      </c>
      <c r="H141" s="2" t="s">
        <v>4</v>
      </c>
      <c r="I141" s="2" t="s">
        <v>141</v>
      </c>
      <c r="J141" s="2" t="s">
        <v>421</v>
      </c>
      <c r="K141" s="2">
        <v>26697049</v>
      </c>
      <c r="L141" s="3">
        <v>1665</v>
      </c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5">
        <f>MAX(ROUND(111*(CY141/L141), 0),1)</f>
        <v>111</v>
      </c>
      <c r="AW141" s="5">
        <f>MAX(ROUND(111*(CY141/L141), 0),1)</f>
        <v>111</v>
      </c>
      <c r="AX141" s="5">
        <f>MAX(ROUND(111*(CY141/L141), 0),1)</f>
        <v>111</v>
      </c>
      <c r="AY141" s="5">
        <f>MAX(ROUND(222*(CY141/L141), 0),1)</f>
        <v>222</v>
      </c>
      <c r="AZ141" s="5">
        <f>MAX(ROUND(333*(CY141/L141), 0),1)</f>
        <v>333</v>
      </c>
      <c r="BA141" s="5">
        <f>MAX(ROUND(333*(CY141/L141), 0),1)</f>
        <v>333</v>
      </c>
      <c r="BB141" s="5">
        <f>MAX(ROUND(222*(CY141/L141), 0),1)</f>
        <v>222</v>
      </c>
      <c r="BC141" s="5">
        <f>MAX(ROUND(222*(CY141/L141), 0),1)</f>
        <v>222</v>
      </c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2">
        <v>1665</v>
      </c>
      <c r="CZ141" s="2">
        <f t="shared" si="8"/>
        <v>1665</v>
      </c>
      <c r="DA141" s="9">
        <v>19</v>
      </c>
      <c r="DB141" s="9">
        <v>37.99</v>
      </c>
    </row>
    <row r="142" spans="1:106" ht="60" customHeight="1">
      <c r="A142" s="2" t="s">
        <v>1</v>
      </c>
      <c r="B142" s="2" t="s">
        <v>109</v>
      </c>
      <c r="C142" s="2" t="s">
        <v>84</v>
      </c>
      <c r="D142" s="2"/>
      <c r="E142" s="2" t="s">
        <v>177</v>
      </c>
      <c r="F142" s="2" t="s">
        <v>117</v>
      </c>
      <c r="G142" s="2">
        <v>114</v>
      </c>
      <c r="H142" s="2" t="s">
        <v>4</v>
      </c>
      <c r="I142" s="2" t="s">
        <v>174</v>
      </c>
      <c r="J142" s="2" t="s">
        <v>421</v>
      </c>
      <c r="K142" s="2">
        <v>26697059</v>
      </c>
      <c r="L142" s="3">
        <v>840</v>
      </c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5">
        <f>MAX(ROUND(56*(CY142/L142), 0),1)</f>
        <v>56</v>
      </c>
      <c r="AW142" s="5">
        <f>MAX(ROUND(56*(CY142/L142), 0),1)</f>
        <v>56</v>
      </c>
      <c r="AX142" s="5">
        <f>MAX(ROUND(56*(CY142/L142), 0),1)</f>
        <v>56</v>
      </c>
      <c r="AY142" s="5">
        <f>MAX(ROUND(112*(CY142/L142), 0),1)</f>
        <v>112</v>
      </c>
      <c r="AZ142" s="5">
        <f>MAX(ROUND(168*(CY142/L142), 0),1)</f>
        <v>168</v>
      </c>
      <c r="BA142" s="5">
        <f>MAX(ROUND(168*(CY142/L142), 0),1)</f>
        <v>168</v>
      </c>
      <c r="BB142" s="5">
        <f>MAX(ROUND(112*(CY142/L142), 0),1)</f>
        <v>112</v>
      </c>
      <c r="BC142" s="5">
        <f>MAX(ROUND(112*(CY142/L142), 0),1)</f>
        <v>112</v>
      </c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2">
        <v>840</v>
      </c>
      <c r="CZ142" s="2">
        <f t="shared" si="8"/>
        <v>840</v>
      </c>
      <c r="DA142" s="9">
        <v>20</v>
      </c>
      <c r="DB142" s="9">
        <v>39.99</v>
      </c>
    </row>
    <row r="143" spans="1:106" ht="60" customHeight="1">
      <c r="A143" s="2" t="s">
        <v>1</v>
      </c>
      <c r="B143" s="2" t="s">
        <v>2</v>
      </c>
      <c r="C143" s="2" t="s">
        <v>3</v>
      </c>
      <c r="D143" s="2"/>
      <c r="E143" s="2" t="s">
        <v>217</v>
      </c>
      <c r="F143" s="2" t="s">
        <v>22</v>
      </c>
      <c r="G143" s="2">
        <v>10</v>
      </c>
      <c r="H143" s="2" t="s">
        <v>4</v>
      </c>
      <c r="I143" s="2" t="s">
        <v>10</v>
      </c>
      <c r="J143" s="2" t="s">
        <v>409</v>
      </c>
      <c r="K143" s="2">
        <v>27525428</v>
      </c>
      <c r="L143" s="3">
        <v>37</v>
      </c>
      <c r="M143" s="4"/>
      <c r="N143" s="4"/>
      <c r="O143" s="4"/>
      <c r="P143" s="4"/>
      <c r="Q143" s="4"/>
      <c r="R143" s="4"/>
      <c r="S143" s="5">
        <f>MAX(ROUND(7*(CY143/L143), 0),1)</f>
        <v>7</v>
      </c>
      <c r="T143" s="5">
        <f>MAX(ROUND(16*(CY143/L143), 0),1)</f>
        <v>16</v>
      </c>
      <c r="U143" s="5">
        <f>MAX(ROUND(4*(CY143/L143), 0),1)</f>
        <v>4</v>
      </c>
      <c r="V143" s="5">
        <f>MAX(ROUND(1*(CY143/L143), 0),1)</f>
        <v>1</v>
      </c>
      <c r="W143" s="4"/>
      <c r="X143" s="5">
        <f>MAX(ROUND(1*(CY143/L143), 0),1)</f>
        <v>1</v>
      </c>
      <c r="Y143" s="5">
        <f>MAX(ROUND(8*(CY143/L143), 0),1)</f>
        <v>8</v>
      </c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2">
        <v>37</v>
      </c>
      <c r="CZ143" s="2">
        <f t="shared" si="8"/>
        <v>37</v>
      </c>
      <c r="DA143" s="9">
        <v>23.41</v>
      </c>
      <c r="DB143" s="9">
        <v>47.99</v>
      </c>
    </row>
    <row r="144" spans="1:106" ht="60" customHeight="1">
      <c r="A144" s="2" t="s">
        <v>1</v>
      </c>
      <c r="B144" s="2" t="s">
        <v>2</v>
      </c>
      <c r="C144" s="2" t="s">
        <v>3</v>
      </c>
      <c r="D144" s="2"/>
      <c r="E144" s="2" t="s">
        <v>217</v>
      </c>
      <c r="F144" s="2" t="s">
        <v>12</v>
      </c>
      <c r="G144" s="2">
        <v>8</v>
      </c>
      <c r="H144" s="2" t="s">
        <v>4</v>
      </c>
      <c r="I144" s="2" t="s">
        <v>10</v>
      </c>
      <c r="J144" s="2" t="s">
        <v>409</v>
      </c>
      <c r="K144" s="2">
        <v>27525429</v>
      </c>
      <c r="L144" s="3">
        <v>24</v>
      </c>
      <c r="M144" s="4"/>
      <c r="N144" s="4"/>
      <c r="O144" s="4"/>
      <c r="P144" s="4"/>
      <c r="Q144" s="4"/>
      <c r="R144" s="4"/>
      <c r="S144" s="5"/>
      <c r="T144" s="5">
        <f>MAX(ROUND(22*(CY144/L144), 0),1)</f>
        <v>22</v>
      </c>
      <c r="U144" s="5"/>
      <c r="V144" s="5">
        <f>MAX(ROUND(2*(CY144/L144), 0),1)</f>
        <v>2</v>
      </c>
      <c r="W144" s="4"/>
      <c r="X144" s="5"/>
      <c r="Y144" s="5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2">
        <v>24</v>
      </c>
      <c r="CZ144" s="2">
        <f t="shared" si="8"/>
        <v>24</v>
      </c>
      <c r="DA144" s="9">
        <v>23.41</v>
      </c>
      <c r="DB144" s="9">
        <v>47.99</v>
      </c>
    </row>
    <row r="145" spans="1:106" ht="60" customHeight="1">
      <c r="A145" s="2" t="s">
        <v>1</v>
      </c>
      <c r="B145" s="2" t="s">
        <v>2</v>
      </c>
      <c r="C145" s="2" t="s">
        <v>3</v>
      </c>
      <c r="D145" s="2"/>
      <c r="E145" s="2" t="s">
        <v>217</v>
      </c>
      <c r="F145" s="2" t="s">
        <v>9</v>
      </c>
      <c r="G145" s="2">
        <v>123</v>
      </c>
      <c r="H145" s="2" t="s">
        <v>4</v>
      </c>
      <c r="I145" s="2" t="s">
        <v>10</v>
      </c>
      <c r="J145" s="2" t="s">
        <v>409</v>
      </c>
      <c r="K145" s="2">
        <v>27525430</v>
      </c>
      <c r="L145" s="3">
        <v>49</v>
      </c>
      <c r="M145" s="4"/>
      <c r="N145" s="4"/>
      <c r="O145" s="4"/>
      <c r="P145" s="4"/>
      <c r="Q145" s="4"/>
      <c r="R145" s="4"/>
      <c r="S145" s="5">
        <f>MAX(ROUND(2*(CY145/L145), 0),1)</f>
        <v>2</v>
      </c>
      <c r="T145" s="5">
        <f>MAX(ROUND(11*(CY145/L145), 0),1)</f>
        <v>11</v>
      </c>
      <c r="U145" s="5">
        <f>MAX(ROUND(29*(CY145/L145), 0),1)</f>
        <v>29</v>
      </c>
      <c r="V145" s="5"/>
      <c r="W145" s="4"/>
      <c r="X145" s="5"/>
      <c r="Y145" s="5">
        <f>MAX(ROUND(7*(CY145/L145), 0),1)</f>
        <v>7</v>
      </c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2">
        <v>49</v>
      </c>
      <c r="CZ145" s="2">
        <f t="shared" si="8"/>
        <v>49</v>
      </c>
      <c r="DA145" s="9">
        <v>23.41</v>
      </c>
      <c r="DB145" s="9">
        <v>47.99</v>
      </c>
    </row>
    <row r="146" spans="1:106" ht="60" customHeight="1">
      <c r="A146" s="2" t="s">
        <v>1</v>
      </c>
      <c r="B146" s="2" t="s">
        <v>2</v>
      </c>
      <c r="C146" s="2" t="s">
        <v>3</v>
      </c>
      <c r="D146" s="2"/>
      <c r="E146" s="2" t="s">
        <v>220</v>
      </c>
      <c r="F146" s="2" t="s">
        <v>12</v>
      </c>
      <c r="G146" s="2">
        <v>8</v>
      </c>
      <c r="H146" s="2" t="s">
        <v>59</v>
      </c>
      <c r="I146" s="2" t="s">
        <v>59</v>
      </c>
      <c r="J146" s="2" t="s">
        <v>404</v>
      </c>
      <c r="K146" s="2">
        <v>27797056</v>
      </c>
      <c r="L146" s="3">
        <v>145</v>
      </c>
      <c r="M146" s="4"/>
      <c r="N146" s="4"/>
      <c r="O146" s="4"/>
      <c r="P146" s="4"/>
      <c r="Q146" s="4"/>
      <c r="R146" s="5"/>
      <c r="S146" s="5">
        <f>MAX(ROUND(41*(CY146/L146), 0),1)</f>
        <v>41</v>
      </c>
      <c r="T146" s="5">
        <f>MAX(ROUND(52*(CY146/L146), 0),1)</f>
        <v>52</v>
      </c>
      <c r="U146" s="5">
        <f>MAX(ROUND(33*(CY146/L146), 0),1)</f>
        <v>33</v>
      </c>
      <c r="V146" s="5">
        <f>MAX(ROUND(18*(CY146/L146), 0),1)</f>
        <v>18</v>
      </c>
      <c r="W146" s="4"/>
      <c r="X146" s="5">
        <f>MAX(ROUND(1*(CY146/L146), 0),1)</f>
        <v>1</v>
      </c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2">
        <v>145</v>
      </c>
      <c r="CZ146" s="2">
        <f t="shared" si="8"/>
        <v>145</v>
      </c>
      <c r="DA146" s="9">
        <v>20</v>
      </c>
      <c r="DB146" s="9">
        <v>50</v>
      </c>
    </row>
    <row r="147" spans="1:106" ht="60" customHeight="1">
      <c r="A147" s="2" t="s">
        <v>1</v>
      </c>
      <c r="B147" s="2" t="s">
        <v>2</v>
      </c>
      <c r="C147" s="2" t="s">
        <v>3</v>
      </c>
      <c r="D147" s="2"/>
      <c r="E147" s="2" t="s">
        <v>221</v>
      </c>
      <c r="F147" s="2" t="s">
        <v>222</v>
      </c>
      <c r="G147" s="2">
        <v>9</v>
      </c>
      <c r="H147" s="2" t="s">
        <v>59</v>
      </c>
      <c r="I147" s="2" t="s">
        <v>59</v>
      </c>
      <c r="J147" s="2" t="s">
        <v>412</v>
      </c>
      <c r="K147" s="2">
        <v>27797057</v>
      </c>
      <c r="L147" s="3">
        <v>14</v>
      </c>
      <c r="M147" s="4"/>
      <c r="N147" s="4"/>
      <c r="O147" s="4"/>
      <c r="P147" s="4"/>
      <c r="Q147" s="4"/>
      <c r="R147" s="5"/>
      <c r="S147" s="5">
        <f>MAX(ROUND(9*(CY147/L147), 0),1)</f>
        <v>9</v>
      </c>
      <c r="T147" s="5">
        <f>MAX(ROUND(4*(CY147/L147), 0),1)</f>
        <v>4</v>
      </c>
      <c r="U147" s="5">
        <f>MAX(ROUND(1*(CY147/L147), 0),1)</f>
        <v>1</v>
      </c>
      <c r="V147" s="5"/>
      <c r="W147" s="4"/>
      <c r="X147" s="5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2">
        <v>14</v>
      </c>
      <c r="CZ147" s="2">
        <f t="shared" si="8"/>
        <v>14</v>
      </c>
      <c r="DA147" s="9">
        <v>32</v>
      </c>
      <c r="DB147" s="9">
        <v>80</v>
      </c>
    </row>
    <row r="148" spans="1:106" ht="60" customHeight="1">
      <c r="A148" s="2" t="s">
        <v>1</v>
      </c>
      <c r="B148" s="2" t="s">
        <v>2</v>
      </c>
      <c r="C148" s="2" t="s">
        <v>3</v>
      </c>
      <c r="D148" s="2"/>
      <c r="E148" s="2" t="s">
        <v>223</v>
      </c>
      <c r="F148" s="2" t="s">
        <v>11</v>
      </c>
      <c r="G148" s="2">
        <v>3</v>
      </c>
      <c r="H148" s="2" t="s">
        <v>59</v>
      </c>
      <c r="I148" s="2" t="s">
        <v>59</v>
      </c>
      <c r="J148" s="2" t="s">
        <v>404</v>
      </c>
      <c r="K148" s="2">
        <v>27797060</v>
      </c>
      <c r="L148" s="3">
        <v>19</v>
      </c>
      <c r="M148" s="4"/>
      <c r="N148" s="4"/>
      <c r="O148" s="4"/>
      <c r="P148" s="4"/>
      <c r="Q148" s="4"/>
      <c r="R148" s="5"/>
      <c r="S148" s="5">
        <f>MAX(ROUND(8*(CY148/L148), 0),1)</f>
        <v>8</v>
      </c>
      <c r="T148" s="5">
        <f>MAX(ROUND(11*(CY148/L148), 0),1)</f>
        <v>11</v>
      </c>
      <c r="U148" s="5"/>
      <c r="V148" s="5"/>
      <c r="W148" s="4"/>
      <c r="X148" s="5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2">
        <v>19</v>
      </c>
      <c r="CZ148" s="2">
        <f t="shared" si="8"/>
        <v>19</v>
      </c>
      <c r="DA148" s="9">
        <v>34</v>
      </c>
      <c r="DB148" s="9">
        <v>85</v>
      </c>
    </row>
    <row r="149" spans="1:106" ht="60" customHeight="1">
      <c r="A149" s="2" t="s">
        <v>1</v>
      </c>
      <c r="B149" s="2" t="s">
        <v>2</v>
      </c>
      <c r="C149" s="2" t="s">
        <v>3</v>
      </c>
      <c r="D149" s="2"/>
      <c r="E149" s="2" t="s">
        <v>225</v>
      </c>
      <c r="F149" s="2" t="s">
        <v>12</v>
      </c>
      <c r="G149" s="2">
        <v>8</v>
      </c>
      <c r="H149" s="2" t="s">
        <v>4</v>
      </c>
      <c r="I149" s="2" t="s">
        <v>119</v>
      </c>
      <c r="J149" s="2" t="s">
        <v>404</v>
      </c>
      <c r="K149" s="2">
        <v>29075914</v>
      </c>
      <c r="L149" s="3">
        <v>62</v>
      </c>
      <c r="M149" s="4"/>
      <c r="N149" s="4"/>
      <c r="O149" s="4"/>
      <c r="P149" s="4"/>
      <c r="Q149" s="4"/>
      <c r="R149" s="4"/>
      <c r="S149" s="5"/>
      <c r="T149" s="5"/>
      <c r="U149" s="5">
        <f>MAX(ROUND(2*(CY149/L149), 0),1)</f>
        <v>2</v>
      </c>
      <c r="V149" s="5">
        <f>MAX(ROUND(46*(CY149/L149), 0),1)</f>
        <v>46</v>
      </c>
      <c r="W149" s="4"/>
      <c r="X149" s="5">
        <f>MAX(ROUND(14*(CY149/L149), 0),1)</f>
        <v>14</v>
      </c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2">
        <v>62</v>
      </c>
      <c r="CZ149" s="2">
        <f t="shared" si="8"/>
        <v>62</v>
      </c>
      <c r="DA149" s="9">
        <v>15</v>
      </c>
      <c r="DB149" s="9">
        <v>29.99</v>
      </c>
    </row>
    <row r="150" spans="1:106" ht="60" customHeight="1">
      <c r="A150" s="2" t="s">
        <v>1</v>
      </c>
      <c r="B150" s="2" t="s">
        <v>2</v>
      </c>
      <c r="C150" s="2" t="s">
        <v>3</v>
      </c>
      <c r="D150" s="2"/>
      <c r="E150" s="2" t="s">
        <v>226</v>
      </c>
      <c r="F150" s="2" t="s">
        <v>22</v>
      </c>
      <c r="G150" s="2">
        <v>10</v>
      </c>
      <c r="H150" s="2" t="s">
        <v>4</v>
      </c>
      <c r="I150" s="2" t="s">
        <v>119</v>
      </c>
      <c r="J150" s="2" t="s">
        <v>414</v>
      </c>
      <c r="K150" s="2">
        <v>29153394</v>
      </c>
      <c r="L150" s="3">
        <v>15</v>
      </c>
      <c r="M150" s="4"/>
      <c r="N150" s="4"/>
      <c r="O150" s="4"/>
      <c r="P150" s="4"/>
      <c r="Q150" s="4"/>
      <c r="R150" s="4"/>
      <c r="S150" s="5">
        <f>MAX(ROUND(14*(CY150/L150), 0),1)</f>
        <v>14</v>
      </c>
      <c r="T150" s="5">
        <f>MAX(ROUND(1*(CY150/L150), 0),1)</f>
        <v>1</v>
      </c>
      <c r="U150" s="5"/>
      <c r="V150" s="5"/>
      <c r="W150" s="4"/>
      <c r="X150" s="5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2">
        <v>15</v>
      </c>
      <c r="CZ150" s="2">
        <f t="shared" si="8"/>
        <v>15</v>
      </c>
      <c r="DA150" s="9">
        <v>25</v>
      </c>
      <c r="DB150" s="9">
        <v>49.99</v>
      </c>
    </row>
    <row r="151" spans="1:106" ht="60" customHeight="1">
      <c r="A151" s="2" t="s">
        <v>1</v>
      </c>
      <c r="B151" s="2" t="s">
        <v>2</v>
      </c>
      <c r="C151" s="2" t="s">
        <v>3</v>
      </c>
      <c r="D151" s="2"/>
      <c r="E151" s="2" t="s">
        <v>226</v>
      </c>
      <c r="F151" s="2" t="s">
        <v>12</v>
      </c>
      <c r="G151" s="2">
        <v>8</v>
      </c>
      <c r="H151" s="2" t="s">
        <v>4</v>
      </c>
      <c r="I151" s="2" t="s">
        <v>119</v>
      </c>
      <c r="J151" s="2" t="s">
        <v>414</v>
      </c>
      <c r="K151" s="2">
        <v>29153396</v>
      </c>
      <c r="L151" s="3">
        <v>104</v>
      </c>
      <c r="M151" s="4"/>
      <c r="N151" s="4"/>
      <c r="O151" s="4"/>
      <c r="P151" s="4"/>
      <c r="Q151" s="4"/>
      <c r="R151" s="4"/>
      <c r="S151" s="5">
        <f>MAX(ROUND(59*(CY151/L151), 0),1)</f>
        <v>59</v>
      </c>
      <c r="T151" s="5">
        <f>MAX(ROUND(34*(CY151/L151), 0),1)</f>
        <v>34</v>
      </c>
      <c r="U151" s="5">
        <f>MAX(ROUND(9*(CY151/L151), 0),1)</f>
        <v>9</v>
      </c>
      <c r="V151" s="5">
        <f>MAX(ROUND(2*(CY151/L151), 0),1)</f>
        <v>2</v>
      </c>
      <c r="W151" s="4"/>
      <c r="X151" s="5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2">
        <v>104</v>
      </c>
      <c r="CZ151" s="2">
        <f t="shared" si="8"/>
        <v>104</v>
      </c>
      <c r="DA151" s="9">
        <v>25</v>
      </c>
      <c r="DB151" s="9">
        <v>49.99</v>
      </c>
    </row>
    <row r="152" spans="1:106" ht="60" customHeight="1">
      <c r="A152" s="2" t="s">
        <v>1</v>
      </c>
      <c r="B152" s="2" t="s">
        <v>2</v>
      </c>
      <c r="C152" s="2" t="s">
        <v>3</v>
      </c>
      <c r="D152" s="2"/>
      <c r="E152" s="2" t="s">
        <v>185</v>
      </c>
      <c r="F152" s="2" t="s">
        <v>22</v>
      </c>
      <c r="G152" s="2">
        <v>10</v>
      </c>
      <c r="H152" s="2" t="s">
        <v>4</v>
      </c>
      <c r="I152" s="2" t="s">
        <v>119</v>
      </c>
      <c r="J152" s="2" t="s">
        <v>417</v>
      </c>
      <c r="K152" s="2">
        <v>29153422</v>
      </c>
      <c r="L152" s="3">
        <v>21</v>
      </c>
      <c r="M152" s="4"/>
      <c r="N152" s="4"/>
      <c r="O152" s="4"/>
      <c r="P152" s="4"/>
      <c r="Q152" s="4"/>
      <c r="R152" s="4"/>
      <c r="S152" s="5">
        <f>MAX(ROUND(13*(CY152/L152), 0),1)</f>
        <v>13</v>
      </c>
      <c r="T152" s="5">
        <f>MAX(ROUND(8*(CY152/L152), 0),1)</f>
        <v>8</v>
      </c>
      <c r="U152" s="5"/>
      <c r="V152" s="5"/>
      <c r="W152" s="4"/>
      <c r="X152" s="5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2">
        <v>21</v>
      </c>
      <c r="CZ152" s="2">
        <f t="shared" si="8"/>
        <v>21</v>
      </c>
      <c r="DA152" s="9">
        <v>50</v>
      </c>
      <c r="DB152" s="9">
        <v>99.99</v>
      </c>
    </row>
    <row r="153" spans="1:106" ht="60" customHeight="1">
      <c r="A153" s="2" t="s">
        <v>1</v>
      </c>
      <c r="B153" s="2" t="s">
        <v>2</v>
      </c>
      <c r="C153" s="2" t="s">
        <v>3</v>
      </c>
      <c r="D153" s="2"/>
      <c r="E153" s="2" t="s">
        <v>74</v>
      </c>
      <c r="F153" s="2" t="s">
        <v>227</v>
      </c>
      <c r="G153" s="2">
        <v>33</v>
      </c>
      <c r="H153" s="2" t="s">
        <v>4</v>
      </c>
      <c r="I153" s="2" t="s">
        <v>10</v>
      </c>
      <c r="J153" s="2" t="s">
        <v>404</v>
      </c>
      <c r="K153" s="2">
        <v>29187264</v>
      </c>
      <c r="L153" s="3">
        <v>413</v>
      </c>
      <c r="M153" s="4"/>
      <c r="N153" s="4"/>
      <c r="O153" s="4"/>
      <c r="P153" s="4"/>
      <c r="Q153" s="4"/>
      <c r="R153" s="4"/>
      <c r="S153" s="5">
        <f>MAX(ROUND(47*(CY153/L153), 0),1)</f>
        <v>47</v>
      </c>
      <c r="T153" s="5">
        <f>MAX(ROUND(3*(CY153/L153), 0),1)</f>
        <v>3</v>
      </c>
      <c r="U153" s="5">
        <f>MAX(ROUND(115*(CY153/L153), 0),1)</f>
        <v>115</v>
      </c>
      <c r="V153" s="5">
        <f>MAX(ROUND(120*(CY153/L153), 0),1)</f>
        <v>120</v>
      </c>
      <c r="W153" s="4"/>
      <c r="X153" s="5">
        <f>MAX(ROUND(101*(CY153/L153), 0),1)</f>
        <v>101</v>
      </c>
      <c r="Y153" s="5">
        <f>MAX(ROUND(27*(CY153/L153), 0),1)</f>
        <v>27</v>
      </c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2">
        <v>413</v>
      </c>
      <c r="CZ153" s="2">
        <f t="shared" ref="CZ153:CZ179" si="9">SUM(M153:CX153)</f>
        <v>413</v>
      </c>
      <c r="DA153" s="9">
        <v>7.31</v>
      </c>
      <c r="DB153" s="9">
        <v>14.99</v>
      </c>
    </row>
    <row r="154" spans="1:106" ht="60" customHeight="1">
      <c r="A154" s="2" t="s">
        <v>1</v>
      </c>
      <c r="B154" s="2" t="s">
        <v>2</v>
      </c>
      <c r="C154" s="2" t="s">
        <v>3</v>
      </c>
      <c r="D154" s="2"/>
      <c r="E154" s="2" t="s">
        <v>74</v>
      </c>
      <c r="F154" s="2" t="s">
        <v>228</v>
      </c>
      <c r="G154" s="2">
        <v>83</v>
      </c>
      <c r="H154" s="2" t="s">
        <v>4</v>
      </c>
      <c r="I154" s="2" t="s">
        <v>10</v>
      </c>
      <c r="J154" s="2" t="s">
        <v>404</v>
      </c>
      <c r="K154" s="2">
        <v>29187277</v>
      </c>
      <c r="L154" s="3">
        <v>389</v>
      </c>
      <c r="M154" s="4"/>
      <c r="N154" s="4"/>
      <c r="O154" s="4"/>
      <c r="P154" s="4"/>
      <c r="Q154" s="4"/>
      <c r="R154" s="4"/>
      <c r="S154" s="5">
        <f>MAX(ROUND(52*(CY154/L154), 0),1)</f>
        <v>52</v>
      </c>
      <c r="T154" s="5">
        <f>MAX(ROUND(59*(CY154/L154), 0),1)</f>
        <v>59</v>
      </c>
      <c r="U154" s="5">
        <f>MAX(ROUND(136*(CY154/L154), 0),1)</f>
        <v>136</v>
      </c>
      <c r="V154" s="5">
        <f>MAX(ROUND(60*(CY154/L154), 0),1)</f>
        <v>60</v>
      </c>
      <c r="W154" s="4"/>
      <c r="X154" s="5">
        <f>MAX(ROUND(80*(CY154/L154), 0),1)</f>
        <v>80</v>
      </c>
      <c r="Y154" s="5">
        <f>MAX(ROUND(2*(CY154/L154), 0),1)</f>
        <v>2</v>
      </c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2">
        <v>389</v>
      </c>
      <c r="CZ154" s="2">
        <f t="shared" si="9"/>
        <v>389</v>
      </c>
      <c r="DA154" s="9">
        <v>7.31</v>
      </c>
      <c r="DB154" s="9">
        <v>14.99</v>
      </c>
    </row>
    <row r="155" spans="1:106" ht="60" customHeight="1">
      <c r="A155" s="2" t="s">
        <v>1</v>
      </c>
      <c r="B155" s="2" t="s">
        <v>2</v>
      </c>
      <c r="C155" s="2" t="s">
        <v>3</v>
      </c>
      <c r="D155" s="2"/>
      <c r="E155" s="2" t="s">
        <v>230</v>
      </c>
      <c r="F155" s="2" t="s">
        <v>12</v>
      </c>
      <c r="G155" s="2">
        <v>8</v>
      </c>
      <c r="H155" s="2" t="s">
        <v>4</v>
      </c>
      <c r="I155" s="2" t="s">
        <v>5</v>
      </c>
      <c r="J155" s="2" t="s">
        <v>417</v>
      </c>
      <c r="K155" s="2">
        <v>29205515</v>
      </c>
      <c r="L155" s="3">
        <v>195</v>
      </c>
      <c r="M155" s="4"/>
      <c r="N155" s="4"/>
      <c r="O155" s="4"/>
      <c r="P155" s="4"/>
      <c r="Q155" s="4"/>
      <c r="R155" s="4"/>
      <c r="S155" s="5">
        <f>MAX(ROUND(39*(CY155/L155), 0),1)</f>
        <v>39</v>
      </c>
      <c r="T155" s="5">
        <f>MAX(ROUND(49*(CY155/L155), 0),1)</f>
        <v>49</v>
      </c>
      <c r="U155" s="5">
        <f>MAX(ROUND(56*(CY155/L155), 0),1)</f>
        <v>56</v>
      </c>
      <c r="V155" s="5">
        <f>MAX(ROUND(32*(CY155/L155), 0),1)</f>
        <v>32</v>
      </c>
      <c r="W155" s="4"/>
      <c r="X155" s="5">
        <f>MAX(ROUND(19*(CY155/L155), 0),1)</f>
        <v>19</v>
      </c>
      <c r="Y155" s="5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2">
        <v>195</v>
      </c>
      <c r="CZ155" s="2">
        <f t="shared" si="9"/>
        <v>195</v>
      </c>
      <c r="DA155" s="9">
        <v>43.9</v>
      </c>
      <c r="DB155" s="9">
        <v>89.99</v>
      </c>
    </row>
    <row r="156" spans="1:106" ht="60" customHeight="1">
      <c r="A156" s="2" t="s">
        <v>1</v>
      </c>
      <c r="B156" s="2" t="s">
        <v>2</v>
      </c>
      <c r="C156" s="2" t="s">
        <v>3</v>
      </c>
      <c r="D156" s="2"/>
      <c r="E156" s="2" t="s">
        <v>232</v>
      </c>
      <c r="F156" s="2" t="s">
        <v>9</v>
      </c>
      <c r="G156" s="2">
        <v>123</v>
      </c>
      <c r="H156" s="2" t="s">
        <v>4</v>
      </c>
      <c r="I156" s="2" t="s">
        <v>10</v>
      </c>
      <c r="J156" s="2" t="s">
        <v>404</v>
      </c>
      <c r="K156" s="2">
        <v>29384916</v>
      </c>
      <c r="L156" s="3">
        <v>16</v>
      </c>
      <c r="M156" s="4"/>
      <c r="N156" s="4"/>
      <c r="O156" s="4"/>
      <c r="P156" s="4"/>
      <c r="Q156" s="4"/>
      <c r="R156" s="4"/>
      <c r="S156" s="5">
        <f>MAX(ROUND(16*(CY156/L156), 0),1)</f>
        <v>16</v>
      </c>
      <c r="T156" s="5"/>
      <c r="U156" s="5"/>
      <c r="V156" s="5"/>
      <c r="W156" s="4"/>
      <c r="X156" s="5"/>
      <c r="Y156" s="5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2">
        <v>16</v>
      </c>
      <c r="CZ156" s="2">
        <f t="shared" si="9"/>
        <v>16</v>
      </c>
      <c r="DA156" s="9">
        <v>9.26</v>
      </c>
      <c r="DB156" s="9">
        <v>18.989999999999998</v>
      </c>
    </row>
    <row r="157" spans="1:106" ht="60" customHeight="1">
      <c r="A157" s="2" t="s">
        <v>1</v>
      </c>
      <c r="B157" s="2" t="s">
        <v>2</v>
      </c>
      <c r="C157" s="2" t="s">
        <v>3</v>
      </c>
      <c r="D157" s="2"/>
      <c r="E157" s="2" t="s">
        <v>101</v>
      </c>
      <c r="F157" s="2" t="s">
        <v>231</v>
      </c>
      <c r="G157" s="2">
        <v>114</v>
      </c>
      <c r="H157" s="2" t="s">
        <v>4</v>
      </c>
      <c r="I157" s="2" t="s">
        <v>10</v>
      </c>
      <c r="J157" s="2" t="s">
        <v>409</v>
      </c>
      <c r="K157" s="2">
        <v>29435199</v>
      </c>
      <c r="L157" s="3">
        <v>36</v>
      </c>
      <c r="M157" s="4"/>
      <c r="N157" s="4"/>
      <c r="O157" s="4"/>
      <c r="P157" s="4"/>
      <c r="Q157" s="4"/>
      <c r="R157" s="4"/>
      <c r="S157" s="5">
        <f>MAX(ROUND(15*(CY157/L157), 0),1)</f>
        <v>15</v>
      </c>
      <c r="T157" s="5">
        <f>MAX(ROUND(12*(CY157/L157), 0),1)</f>
        <v>12</v>
      </c>
      <c r="U157" s="5"/>
      <c r="V157" s="5"/>
      <c r="W157" s="4"/>
      <c r="X157" s="5"/>
      <c r="Y157" s="5">
        <f>MAX(ROUND(9*(CY157/L157), 0),1)</f>
        <v>9</v>
      </c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2">
        <v>36</v>
      </c>
      <c r="CZ157" s="2">
        <f t="shared" si="9"/>
        <v>36</v>
      </c>
      <c r="DA157" s="9">
        <v>23.41</v>
      </c>
      <c r="DB157" s="9">
        <v>47.99</v>
      </c>
    </row>
    <row r="158" spans="1:106" ht="60" customHeight="1">
      <c r="A158" s="2" t="s">
        <v>1</v>
      </c>
      <c r="B158" s="2" t="s">
        <v>2</v>
      </c>
      <c r="C158" s="2" t="s">
        <v>84</v>
      </c>
      <c r="D158" s="2"/>
      <c r="E158" s="2" t="s">
        <v>233</v>
      </c>
      <c r="F158" s="2" t="s">
        <v>234</v>
      </c>
      <c r="G158" s="2">
        <v>103</v>
      </c>
      <c r="H158" s="2" t="s">
        <v>4</v>
      </c>
      <c r="I158" s="2" t="s">
        <v>174</v>
      </c>
      <c r="J158" s="2" t="s">
        <v>421</v>
      </c>
      <c r="K158" s="2">
        <v>29535186</v>
      </c>
      <c r="L158" s="3">
        <v>25</v>
      </c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5">
        <f>MAX(ROUND(2*(CY158/L158), 0),1)</f>
        <v>2</v>
      </c>
      <c r="BJ158" s="4"/>
      <c r="BK158" s="5">
        <f>MAX(ROUND(1*(CY158/L158), 0),1)</f>
        <v>1</v>
      </c>
      <c r="BL158" s="4"/>
      <c r="BM158" s="5">
        <f>MAX(ROUND(5*(CY158/L158), 0),1)</f>
        <v>5</v>
      </c>
      <c r="BN158" s="4"/>
      <c r="BO158" s="5">
        <f>MAX(ROUND(6*(CY158/L158), 0),1)</f>
        <v>6</v>
      </c>
      <c r="BP158" s="5">
        <f>MAX(ROUND(5*(CY158/L158), 0),1)</f>
        <v>5</v>
      </c>
      <c r="BQ158" s="4"/>
      <c r="BR158" s="5">
        <f>MAX(ROUND(6*(CY158/L158), 0),1)</f>
        <v>6</v>
      </c>
      <c r="BS158" s="4"/>
      <c r="BT158" s="5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2">
        <v>25</v>
      </c>
      <c r="CZ158" s="2">
        <f t="shared" si="9"/>
        <v>25</v>
      </c>
      <c r="DA158" s="9">
        <v>22.5</v>
      </c>
      <c r="DB158" s="9">
        <v>44.99</v>
      </c>
    </row>
    <row r="159" spans="1:106" ht="60" customHeight="1">
      <c r="A159" s="2" t="s">
        <v>1</v>
      </c>
      <c r="B159" s="2" t="s">
        <v>2</v>
      </c>
      <c r="C159" s="2" t="s">
        <v>84</v>
      </c>
      <c r="D159" s="2"/>
      <c r="E159" s="2" t="s">
        <v>235</v>
      </c>
      <c r="F159" s="2" t="s">
        <v>22</v>
      </c>
      <c r="G159" s="2">
        <v>10</v>
      </c>
      <c r="H159" s="2" t="s">
        <v>4</v>
      </c>
      <c r="I159" s="2" t="s">
        <v>174</v>
      </c>
      <c r="J159" s="2" t="s">
        <v>421</v>
      </c>
      <c r="K159" s="2">
        <v>29535189</v>
      </c>
      <c r="L159" s="3">
        <v>13</v>
      </c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5">
        <f>MAX(ROUND(2*(CY159/L159), 0),1)</f>
        <v>2</v>
      </c>
      <c r="BJ159" s="4"/>
      <c r="BK159" s="5"/>
      <c r="BL159" s="4"/>
      <c r="BM159" s="5"/>
      <c r="BN159" s="4"/>
      <c r="BO159" s="5"/>
      <c r="BP159" s="5">
        <f>MAX(ROUND(7*(CY159/L159), 0),1)</f>
        <v>7</v>
      </c>
      <c r="BQ159" s="4"/>
      <c r="BR159" s="5">
        <f>MAX(ROUND(2*(CY159/L159), 0),1)</f>
        <v>2</v>
      </c>
      <c r="BS159" s="4"/>
      <c r="BT159" s="5">
        <f>MAX(ROUND(2*(CY159/L159), 0),1)</f>
        <v>2</v>
      </c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2">
        <v>13</v>
      </c>
      <c r="CZ159" s="2">
        <f t="shared" si="9"/>
        <v>13</v>
      </c>
      <c r="DA159" s="9">
        <v>26.5</v>
      </c>
      <c r="DB159" s="9">
        <v>52.99</v>
      </c>
    </row>
    <row r="160" spans="1:106" ht="60" customHeight="1">
      <c r="A160" s="2" t="s">
        <v>1</v>
      </c>
      <c r="B160" s="2" t="s">
        <v>109</v>
      </c>
      <c r="C160" s="2" t="s">
        <v>84</v>
      </c>
      <c r="D160" s="2"/>
      <c r="E160" s="2" t="s">
        <v>241</v>
      </c>
      <c r="F160" s="2" t="s">
        <v>240</v>
      </c>
      <c r="G160" s="2">
        <v>123</v>
      </c>
      <c r="H160" s="2" t="s">
        <v>4</v>
      </c>
      <c r="I160" s="2" t="s">
        <v>141</v>
      </c>
      <c r="J160" s="2" t="s">
        <v>421</v>
      </c>
      <c r="K160" s="2">
        <v>29560257</v>
      </c>
      <c r="L160" s="3">
        <v>22</v>
      </c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5">
        <f>MAX(ROUND(1*(CY160/L160), 0),1)</f>
        <v>1</v>
      </c>
      <c r="AW160" s="5">
        <f>MAX(ROUND(2*(CY160/L160), 0),1)</f>
        <v>2</v>
      </c>
      <c r="AX160" s="5"/>
      <c r="AY160" s="5">
        <f>MAX(ROUND(4*(CY160/L160), 0),1)</f>
        <v>4</v>
      </c>
      <c r="AZ160" s="5">
        <f>MAX(ROUND(5*(CY160/L160), 0),1)</f>
        <v>5</v>
      </c>
      <c r="BA160" s="5">
        <f>MAX(ROUND(5*(CY160/L160), 0),1)</f>
        <v>5</v>
      </c>
      <c r="BB160" s="5">
        <f>MAX(ROUND(4*(CY160/L160), 0),1)</f>
        <v>4</v>
      </c>
      <c r="BC160" s="5">
        <f>MAX(ROUND(1*(CY160/L160), 0),1)</f>
        <v>1</v>
      </c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2">
        <v>22</v>
      </c>
      <c r="CZ160" s="2">
        <f t="shared" si="9"/>
        <v>22</v>
      </c>
      <c r="DA160" s="9">
        <v>21.5</v>
      </c>
      <c r="DB160" s="9">
        <v>42.99</v>
      </c>
    </row>
    <row r="161" spans="1:106" ht="60" customHeight="1">
      <c r="A161" s="2" t="s">
        <v>1</v>
      </c>
      <c r="B161" s="2" t="s">
        <v>2</v>
      </c>
      <c r="C161" s="2" t="s">
        <v>84</v>
      </c>
      <c r="D161" s="2"/>
      <c r="E161" s="2" t="s">
        <v>242</v>
      </c>
      <c r="F161" s="2" t="s">
        <v>12</v>
      </c>
      <c r="G161" s="2">
        <v>8</v>
      </c>
      <c r="H161" s="2" t="s">
        <v>4</v>
      </c>
      <c r="I161" s="2" t="s">
        <v>140</v>
      </c>
      <c r="J161" s="2" t="s">
        <v>420</v>
      </c>
      <c r="K161" s="2">
        <v>29574123</v>
      </c>
      <c r="L161" s="3">
        <v>37</v>
      </c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5">
        <f>MAX(ROUND(1*(CY161/L161), 0),1)</f>
        <v>1</v>
      </c>
      <c r="BL161" s="4"/>
      <c r="BM161" s="5">
        <f>MAX(ROUND(8*(CY161/L161), 0),1)</f>
        <v>8</v>
      </c>
      <c r="BN161" s="4"/>
      <c r="BO161" s="5">
        <f>MAX(ROUND(6*(CY161/L161), 0),1)</f>
        <v>6</v>
      </c>
      <c r="BP161" s="5">
        <f>MAX(ROUND(10*(CY161/L161), 0),1)</f>
        <v>10</v>
      </c>
      <c r="BQ161" s="4"/>
      <c r="BR161" s="5">
        <f>MAX(ROUND(6*(CY161/L161), 0),1)</f>
        <v>6</v>
      </c>
      <c r="BS161" s="4"/>
      <c r="BT161" s="5">
        <f>MAX(ROUND(6*(CY161/L161), 0),1)</f>
        <v>6</v>
      </c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2">
        <v>37</v>
      </c>
      <c r="CZ161" s="2">
        <f t="shared" si="9"/>
        <v>37</v>
      </c>
      <c r="DA161" s="9">
        <v>8.5</v>
      </c>
      <c r="DB161" s="9">
        <v>16.989999999999998</v>
      </c>
    </row>
    <row r="162" spans="1:106" ht="60" customHeight="1">
      <c r="A162" s="2" t="s">
        <v>1</v>
      </c>
      <c r="B162" s="2" t="s">
        <v>2</v>
      </c>
      <c r="C162" s="2" t="s">
        <v>3</v>
      </c>
      <c r="D162" s="2"/>
      <c r="E162" s="2" t="s">
        <v>224</v>
      </c>
      <c r="F162" s="2" t="s">
        <v>22</v>
      </c>
      <c r="G162" s="2">
        <v>10</v>
      </c>
      <c r="H162" s="2" t="s">
        <v>4</v>
      </c>
      <c r="I162" s="2" t="s">
        <v>119</v>
      </c>
      <c r="J162" s="2" t="s">
        <v>404</v>
      </c>
      <c r="K162" s="2">
        <v>30049833</v>
      </c>
      <c r="L162" s="3">
        <v>265</v>
      </c>
      <c r="M162" s="4"/>
      <c r="N162" s="4"/>
      <c r="O162" s="4"/>
      <c r="P162" s="4"/>
      <c r="Q162" s="4"/>
      <c r="R162" s="4"/>
      <c r="S162" s="5">
        <f>MAX(ROUND(22*(CY162/L162), 0),1)</f>
        <v>22</v>
      </c>
      <c r="T162" s="5">
        <f>MAX(ROUND(37*(CY162/L162), 0),1)</f>
        <v>37</v>
      </c>
      <c r="U162" s="5">
        <f>MAX(ROUND(67*(CY162/L162), 0),1)</f>
        <v>67</v>
      </c>
      <c r="V162" s="5">
        <f>MAX(ROUND(74*(CY162/L162), 0),1)</f>
        <v>74</v>
      </c>
      <c r="W162" s="4"/>
      <c r="X162" s="5">
        <f>MAX(ROUND(65*(CY162/L162), 0),1)</f>
        <v>65</v>
      </c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2">
        <v>265</v>
      </c>
      <c r="CZ162" s="2">
        <f t="shared" si="9"/>
        <v>265</v>
      </c>
      <c r="DA162" s="9">
        <v>14</v>
      </c>
      <c r="DB162" s="9">
        <v>27.99</v>
      </c>
    </row>
    <row r="163" spans="1:106" ht="60" customHeight="1">
      <c r="A163" s="2" t="s">
        <v>1</v>
      </c>
      <c r="B163" s="2" t="s">
        <v>2</v>
      </c>
      <c r="C163" s="2" t="s">
        <v>3</v>
      </c>
      <c r="D163" s="2"/>
      <c r="E163" s="2" t="s">
        <v>244</v>
      </c>
      <c r="F163" s="2" t="s">
        <v>12</v>
      </c>
      <c r="G163" s="2">
        <v>8</v>
      </c>
      <c r="H163" s="2" t="s">
        <v>4</v>
      </c>
      <c r="I163" s="2" t="s">
        <v>5</v>
      </c>
      <c r="J163" s="2" t="s">
        <v>409</v>
      </c>
      <c r="K163" s="2">
        <v>30133259</v>
      </c>
      <c r="L163" s="3">
        <v>111</v>
      </c>
      <c r="M163" s="4"/>
      <c r="N163" s="4"/>
      <c r="O163" s="4"/>
      <c r="P163" s="4"/>
      <c r="Q163" s="4"/>
      <c r="R163" s="4"/>
      <c r="S163" s="5">
        <f>MAX(ROUND(27*(CY163/L163), 0),1)</f>
        <v>27</v>
      </c>
      <c r="T163" s="5">
        <f>MAX(ROUND(44*(CY163/L163), 0),1)</f>
        <v>44</v>
      </c>
      <c r="U163" s="5">
        <f>MAX(ROUND(21*(CY163/L163), 0),1)</f>
        <v>21</v>
      </c>
      <c r="V163" s="5"/>
      <c r="W163" s="4"/>
      <c r="X163" s="5">
        <f>MAX(ROUND(6*(CY163/L163), 0),1)</f>
        <v>6</v>
      </c>
      <c r="Y163" s="5">
        <f>MAX(ROUND(13*(CY163/L163), 0),1)</f>
        <v>13</v>
      </c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2">
        <v>111</v>
      </c>
      <c r="CZ163" s="2">
        <f t="shared" si="9"/>
        <v>111</v>
      </c>
      <c r="DA163" s="9">
        <v>29.26</v>
      </c>
      <c r="DB163" s="9">
        <v>59.99</v>
      </c>
    </row>
    <row r="164" spans="1:106" ht="60" customHeight="1">
      <c r="A164" s="2" t="s">
        <v>1</v>
      </c>
      <c r="B164" s="2" t="s">
        <v>2</v>
      </c>
      <c r="C164" s="2" t="s">
        <v>3</v>
      </c>
      <c r="D164" s="2"/>
      <c r="E164" s="2" t="s">
        <v>74</v>
      </c>
      <c r="F164" s="2" t="s">
        <v>245</v>
      </c>
      <c r="G164" s="2">
        <v>163</v>
      </c>
      <c r="H164" s="2" t="s">
        <v>4</v>
      </c>
      <c r="I164" s="2" t="s">
        <v>10</v>
      </c>
      <c r="J164" s="2" t="s">
        <v>404</v>
      </c>
      <c r="K164" s="2">
        <v>30141164</v>
      </c>
      <c r="L164" s="3">
        <v>330</v>
      </c>
      <c r="M164" s="4"/>
      <c r="N164" s="4"/>
      <c r="O164" s="4"/>
      <c r="P164" s="4"/>
      <c r="Q164" s="4"/>
      <c r="R164" s="4"/>
      <c r="S164" s="5">
        <f>MAX(ROUND(2*(CY164/L164), 0),1)</f>
        <v>2</v>
      </c>
      <c r="T164" s="5">
        <f>MAX(ROUND(22*(CY164/L164), 0),1)</f>
        <v>22</v>
      </c>
      <c r="U164" s="5">
        <f>MAX(ROUND(116*(CY164/L164), 0),1)</f>
        <v>116</v>
      </c>
      <c r="V164" s="5">
        <f>MAX(ROUND(82*(CY164/L164), 0),1)</f>
        <v>82</v>
      </c>
      <c r="W164" s="4"/>
      <c r="X164" s="5">
        <f>MAX(ROUND(79*(CY164/L164), 0),1)</f>
        <v>79</v>
      </c>
      <c r="Y164" s="5">
        <f>MAX(ROUND(29*(CY164/L164), 0),1)</f>
        <v>29</v>
      </c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2">
        <v>330</v>
      </c>
      <c r="CZ164" s="2">
        <f t="shared" si="9"/>
        <v>330</v>
      </c>
      <c r="DA164" s="9">
        <v>7.31</v>
      </c>
      <c r="DB164" s="9">
        <v>14.99</v>
      </c>
    </row>
    <row r="165" spans="1:106" ht="60" customHeight="1">
      <c r="A165" s="2" t="s">
        <v>1</v>
      </c>
      <c r="B165" s="2" t="s">
        <v>2</v>
      </c>
      <c r="C165" s="2" t="s">
        <v>84</v>
      </c>
      <c r="D165" s="2"/>
      <c r="E165" s="2" t="s">
        <v>235</v>
      </c>
      <c r="F165" s="2" t="s">
        <v>11</v>
      </c>
      <c r="G165" s="2">
        <v>3</v>
      </c>
      <c r="H165" s="2" t="s">
        <v>4</v>
      </c>
      <c r="I165" s="2" t="s">
        <v>174</v>
      </c>
      <c r="J165" s="2" t="s">
        <v>421</v>
      </c>
      <c r="K165" s="2">
        <v>30161044</v>
      </c>
      <c r="L165" s="3">
        <v>30</v>
      </c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5">
        <f>MAX(ROUND(3*(CY165/L165), 0),1)</f>
        <v>3</v>
      </c>
      <c r="BJ165" s="4"/>
      <c r="BK165" s="5">
        <f>MAX(ROUND(2*(CY165/L165), 0),1)</f>
        <v>2</v>
      </c>
      <c r="BL165" s="4"/>
      <c r="BM165" s="5">
        <f>MAX(ROUND(3*(CY165/L165), 0),1)</f>
        <v>3</v>
      </c>
      <c r="BN165" s="4"/>
      <c r="BO165" s="5">
        <f>MAX(ROUND(5*(CY165/L165), 0),1)</f>
        <v>5</v>
      </c>
      <c r="BP165" s="5">
        <f>MAX(ROUND(8*(CY165/L165), 0),1)</f>
        <v>8</v>
      </c>
      <c r="BQ165" s="4"/>
      <c r="BR165" s="5">
        <f>MAX(ROUND(6*(CY165/L165), 0),1)</f>
        <v>6</v>
      </c>
      <c r="BS165" s="4"/>
      <c r="BT165" s="5">
        <f>MAX(ROUND(3*(CY165/L165), 0),1)</f>
        <v>3</v>
      </c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2">
        <v>30</v>
      </c>
      <c r="CZ165" s="2">
        <f t="shared" si="9"/>
        <v>30</v>
      </c>
      <c r="DA165" s="9">
        <v>26.5</v>
      </c>
      <c r="DB165" s="9">
        <v>52.99</v>
      </c>
    </row>
    <row r="166" spans="1:106" ht="60" customHeight="1">
      <c r="A166" s="2" t="s">
        <v>1</v>
      </c>
      <c r="B166" s="2" t="s">
        <v>2</v>
      </c>
      <c r="C166" s="2" t="s">
        <v>3</v>
      </c>
      <c r="D166" s="2"/>
      <c r="E166" s="2" t="s">
        <v>246</v>
      </c>
      <c r="F166" s="2" t="s">
        <v>12</v>
      </c>
      <c r="G166" s="2">
        <v>8</v>
      </c>
      <c r="H166" s="2" t="s">
        <v>4</v>
      </c>
      <c r="I166" s="2" t="s">
        <v>5</v>
      </c>
      <c r="J166" s="2" t="s">
        <v>414</v>
      </c>
      <c r="K166" s="2">
        <v>30161708</v>
      </c>
      <c r="L166" s="3">
        <v>35</v>
      </c>
      <c r="M166" s="4"/>
      <c r="N166" s="4"/>
      <c r="O166" s="4"/>
      <c r="P166" s="4"/>
      <c r="Q166" s="4"/>
      <c r="R166" s="4"/>
      <c r="S166" s="5">
        <f>MAX(ROUND(35*(CY166/L166), 0),1)</f>
        <v>35</v>
      </c>
      <c r="T166" s="5"/>
      <c r="U166" s="5"/>
      <c r="V166" s="5"/>
      <c r="W166" s="4"/>
      <c r="X166" s="5"/>
      <c r="Y166" s="5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2">
        <v>35</v>
      </c>
      <c r="CZ166" s="2">
        <f t="shared" si="9"/>
        <v>35</v>
      </c>
      <c r="DA166" s="9">
        <v>26.82</v>
      </c>
      <c r="DB166" s="9">
        <v>54.99</v>
      </c>
    </row>
    <row r="167" spans="1:106" ht="60" customHeight="1">
      <c r="A167" s="2" t="s">
        <v>1</v>
      </c>
      <c r="B167" s="2" t="s">
        <v>6</v>
      </c>
      <c r="C167" s="2" t="s">
        <v>84</v>
      </c>
      <c r="D167" s="2"/>
      <c r="E167" s="2" t="s">
        <v>243</v>
      </c>
      <c r="F167" s="2" t="s">
        <v>248</v>
      </c>
      <c r="G167" s="2">
        <v>34</v>
      </c>
      <c r="H167" s="2" t="s">
        <v>4</v>
      </c>
      <c r="I167" s="2" t="s">
        <v>140</v>
      </c>
      <c r="J167" s="2" t="s">
        <v>420</v>
      </c>
      <c r="K167" s="2">
        <v>30274434</v>
      </c>
      <c r="L167" s="3">
        <v>17</v>
      </c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5">
        <f>MAX(ROUND(7*(CY167/L167), 0),1)</f>
        <v>7</v>
      </c>
      <c r="BE167" s="5">
        <f>MAX(ROUND(5*(CY167/L167), 0),1)</f>
        <v>5</v>
      </c>
      <c r="BF167" s="5">
        <f>MAX(ROUND(5*(CY167/L167), 0),1)</f>
        <v>5</v>
      </c>
      <c r="BG167" s="4"/>
      <c r="BH167" s="5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2">
        <v>17</v>
      </c>
      <c r="CZ167" s="2">
        <f t="shared" si="9"/>
        <v>17</v>
      </c>
      <c r="DA167" s="9">
        <v>10</v>
      </c>
      <c r="DB167" s="9">
        <v>19.989999999999998</v>
      </c>
    </row>
    <row r="168" spans="1:106" ht="60" customHeight="1">
      <c r="A168" s="2" t="s">
        <v>1</v>
      </c>
      <c r="B168" s="2" t="s">
        <v>6</v>
      </c>
      <c r="C168" s="2" t="s">
        <v>84</v>
      </c>
      <c r="D168" s="2"/>
      <c r="E168" s="2" t="s">
        <v>243</v>
      </c>
      <c r="F168" s="2" t="s">
        <v>249</v>
      </c>
      <c r="G168" s="2">
        <v>34</v>
      </c>
      <c r="H168" s="2" t="s">
        <v>4</v>
      </c>
      <c r="I168" s="2" t="s">
        <v>140</v>
      </c>
      <c r="J168" s="2" t="s">
        <v>420</v>
      </c>
      <c r="K168" s="2">
        <v>30414641</v>
      </c>
      <c r="L168" s="3">
        <v>13</v>
      </c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5">
        <f>MAX(ROUND(5*(CY168/L168), 0),1)</f>
        <v>5</v>
      </c>
      <c r="BE168" s="5">
        <f>MAX(ROUND(6*(CY168/L168), 0),1)</f>
        <v>6</v>
      </c>
      <c r="BF168" s="5"/>
      <c r="BG168" s="4"/>
      <c r="BH168" s="5">
        <f>MAX(ROUND(2*(CY168/L168), 0),1)</f>
        <v>2</v>
      </c>
      <c r="BI168" s="5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2">
        <v>13</v>
      </c>
      <c r="CZ168" s="2">
        <f t="shared" si="9"/>
        <v>13</v>
      </c>
      <c r="DA168" s="9">
        <v>10</v>
      </c>
      <c r="DB168" s="9">
        <v>19.989999999999998</v>
      </c>
    </row>
    <row r="169" spans="1:106" ht="60" customHeight="1">
      <c r="A169" s="2" t="s">
        <v>1</v>
      </c>
      <c r="B169" s="2" t="s">
        <v>18</v>
      </c>
      <c r="C169" s="2" t="s">
        <v>3</v>
      </c>
      <c r="D169" s="2"/>
      <c r="E169" s="2" t="s">
        <v>219</v>
      </c>
      <c r="F169" s="2" t="s">
        <v>250</v>
      </c>
      <c r="G169" s="2">
        <v>5</v>
      </c>
      <c r="H169" s="2" t="s">
        <v>59</v>
      </c>
      <c r="I169" s="2" t="s">
        <v>59</v>
      </c>
      <c r="J169" s="2" t="s">
        <v>422</v>
      </c>
      <c r="K169" s="2">
        <v>30831898</v>
      </c>
      <c r="L169" s="3">
        <v>36</v>
      </c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5">
        <f>MAX(ROUND(36*(CY169/L169), 0),1)</f>
        <v>36</v>
      </c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2">
        <v>36</v>
      </c>
      <c r="CZ169" s="2">
        <f t="shared" si="9"/>
        <v>36</v>
      </c>
      <c r="DA169" s="9">
        <v>16</v>
      </c>
      <c r="DB169" s="9">
        <v>40</v>
      </c>
    </row>
    <row r="170" spans="1:106" ht="60" customHeight="1">
      <c r="A170" s="2" t="s">
        <v>1</v>
      </c>
      <c r="B170" s="2" t="s">
        <v>2</v>
      </c>
      <c r="C170" s="2" t="s">
        <v>3</v>
      </c>
      <c r="D170" s="2"/>
      <c r="E170" s="2" t="s">
        <v>251</v>
      </c>
      <c r="F170" s="2" t="s">
        <v>131</v>
      </c>
      <c r="G170" s="2">
        <v>11</v>
      </c>
      <c r="H170" s="2" t="s">
        <v>59</v>
      </c>
      <c r="I170" s="2" t="s">
        <v>59</v>
      </c>
      <c r="J170" s="2" t="s">
        <v>411</v>
      </c>
      <c r="K170" s="2">
        <v>30847114</v>
      </c>
      <c r="L170" s="3">
        <v>15</v>
      </c>
      <c r="M170" s="4"/>
      <c r="N170" s="4"/>
      <c r="O170" s="4"/>
      <c r="P170" s="4"/>
      <c r="Q170" s="4"/>
      <c r="R170" s="5"/>
      <c r="S170" s="5">
        <f>MAX(ROUND(7*(CY170/L170), 0),1)</f>
        <v>7</v>
      </c>
      <c r="T170" s="5">
        <f>MAX(ROUND(8*(CY170/L170), 0),1)</f>
        <v>8</v>
      </c>
      <c r="U170" s="5"/>
      <c r="V170" s="5"/>
      <c r="W170" s="4"/>
      <c r="X170" s="5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2">
        <v>15</v>
      </c>
      <c r="CZ170" s="2">
        <f t="shared" si="9"/>
        <v>15</v>
      </c>
      <c r="DA170" s="9">
        <v>40</v>
      </c>
      <c r="DB170" s="9">
        <v>100</v>
      </c>
    </row>
    <row r="171" spans="1:106" ht="60" customHeight="1">
      <c r="A171" s="2" t="s">
        <v>1</v>
      </c>
      <c r="B171" s="2" t="s">
        <v>2</v>
      </c>
      <c r="C171" s="2" t="s">
        <v>3</v>
      </c>
      <c r="D171" s="2"/>
      <c r="E171" s="2" t="s">
        <v>251</v>
      </c>
      <c r="F171" s="2" t="s">
        <v>252</v>
      </c>
      <c r="G171" s="2">
        <v>52</v>
      </c>
      <c r="H171" s="2" t="s">
        <v>59</v>
      </c>
      <c r="I171" s="2" t="s">
        <v>59</v>
      </c>
      <c r="J171" s="2" t="s">
        <v>411</v>
      </c>
      <c r="K171" s="2">
        <v>30847116</v>
      </c>
      <c r="L171" s="3">
        <v>19</v>
      </c>
      <c r="M171" s="4"/>
      <c r="N171" s="4"/>
      <c r="O171" s="4"/>
      <c r="P171" s="4"/>
      <c r="Q171" s="4"/>
      <c r="R171" s="5"/>
      <c r="S171" s="5">
        <f>MAX(ROUND(19*(CY171/L171), 0),1)</f>
        <v>19</v>
      </c>
      <c r="T171" s="5"/>
      <c r="U171" s="5"/>
      <c r="V171" s="5"/>
      <c r="W171" s="4"/>
      <c r="X171" s="5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2">
        <v>19</v>
      </c>
      <c r="CZ171" s="2">
        <f t="shared" si="9"/>
        <v>19</v>
      </c>
      <c r="DA171" s="9">
        <v>40</v>
      </c>
      <c r="DB171" s="9">
        <v>100</v>
      </c>
    </row>
    <row r="172" spans="1:106" ht="60" customHeight="1">
      <c r="A172" s="2" t="s">
        <v>1</v>
      </c>
      <c r="B172" s="2" t="s">
        <v>2</v>
      </c>
      <c r="C172" s="2" t="s">
        <v>3</v>
      </c>
      <c r="D172" s="2"/>
      <c r="E172" s="2" t="s">
        <v>253</v>
      </c>
      <c r="F172" s="2" t="s">
        <v>252</v>
      </c>
      <c r="G172" s="2">
        <v>52</v>
      </c>
      <c r="H172" s="2" t="s">
        <v>59</v>
      </c>
      <c r="I172" s="2" t="s">
        <v>59</v>
      </c>
      <c r="J172" s="2" t="s">
        <v>414</v>
      </c>
      <c r="K172" s="2">
        <v>30847120</v>
      </c>
      <c r="L172" s="3">
        <v>15</v>
      </c>
      <c r="M172" s="4"/>
      <c r="N172" s="4"/>
      <c r="O172" s="4"/>
      <c r="P172" s="4"/>
      <c r="Q172" s="4"/>
      <c r="R172" s="5"/>
      <c r="S172" s="5">
        <f>MAX(ROUND(8*(CY172/L172), 0),1)</f>
        <v>8</v>
      </c>
      <c r="T172" s="5">
        <f>MAX(ROUND(7*(CY172/L172), 0),1)</f>
        <v>7</v>
      </c>
      <c r="U172" s="5"/>
      <c r="V172" s="5"/>
      <c r="W172" s="4"/>
      <c r="X172" s="5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2">
        <v>15</v>
      </c>
      <c r="CZ172" s="2">
        <f t="shared" si="9"/>
        <v>15</v>
      </c>
      <c r="DA172" s="9">
        <v>28</v>
      </c>
      <c r="DB172" s="9">
        <v>70</v>
      </c>
    </row>
    <row r="173" spans="1:106" ht="60" customHeight="1">
      <c r="A173" s="2" t="s">
        <v>1</v>
      </c>
      <c r="B173" s="2" t="s">
        <v>2</v>
      </c>
      <c r="C173" s="2" t="s">
        <v>3</v>
      </c>
      <c r="D173" s="2"/>
      <c r="E173" s="2" t="s">
        <v>220</v>
      </c>
      <c r="F173" s="2" t="s">
        <v>254</v>
      </c>
      <c r="G173" s="2">
        <v>7</v>
      </c>
      <c r="H173" s="2" t="s">
        <v>59</v>
      </c>
      <c r="I173" s="2" t="s">
        <v>59</v>
      </c>
      <c r="J173" s="2" t="s">
        <v>404</v>
      </c>
      <c r="K173" s="2">
        <v>30847132</v>
      </c>
      <c r="L173" s="3">
        <v>48</v>
      </c>
      <c r="M173" s="4"/>
      <c r="N173" s="4"/>
      <c r="O173" s="4"/>
      <c r="P173" s="4"/>
      <c r="Q173" s="4"/>
      <c r="R173" s="5"/>
      <c r="S173" s="5">
        <f>MAX(ROUND(21*(CY173/L173), 0),1)</f>
        <v>21</v>
      </c>
      <c r="T173" s="5">
        <f>MAX(ROUND(22*(CY173/L173), 0),1)</f>
        <v>22</v>
      </c>
      <c r="U173" s="5">
        <f>MAX(ROUND(5*(CY173/L173), 0),1)</f>
        <v>5</v>
      </c>
      <c r="V173" s="5"/>
      <c r="W173" s="4"/>
      <c r="X173" s="5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2">
        <v>48</v>
      </c>
      <c r="CZ173" s="2">
        <f t="shared" si="9"/>
        <v>48</v>
      </c>
      <c r="DA173" s="9">
        <v>20</v>
      </c>
      <c r="DB173" s="9">
        <v>50</v>
      </c>
    </row>
    <row r="174" spans="1:106" ht="60" customHeight="1">
      <c r="A174" s="2" t="s">
        <v>1</v>
      </c>
      <c r="B174" s="2" t="s">
        <v>2</v>
      </c>
      <c r="C174" s="2" t="s">
        <v>3</v>
      </c>
      <c r="D174" s="2"/>
      <c r="E174" s="2" t="s">
        <v>221</v>
      </c>
      <c r="F174" s="2" t="s">
        <v>250</v>
      </c>
      <c r="G174" s="2">
        <v>51</v>
      </c>
      <c r="H174" s="2" t="s">
        <v>59</v>
      </c>
      <c r="I174" s="2" t="s">
        <v>59</v>
      </c>
      <c r="J174" s="2" t="s">
        <v>412</v>
      </c>
      <c r="K174" s="2">
        <v>30847134</v>
      </c>
      <c r="L174" s="3">
        <v>23</v>
      </c>
      <c r="M174" s="4"/>
      <c r="N174" s="4"/>
      <c r="O174" s="4"/>
      <c r="P174" s="4"/>
      <c r="Q174" s="4"/>
      <c r="R174" s="5"/>
      <c r="S174" s="5">
        <f>MAX(ROUND(9*(CY174/L174), 0),1)</f>
        <v>9</v>
      </c>
      <c r="T174" s="5">
        <f>MAX(ROUND(14*(CY174/L174), 0),1)</f>
        <v>14</v>
      </c>
      <c r="U174" s="5"/>
      <c r="V174" s="5"/>
      <c r="W174" s="4"/>
      <c r="X174" s="5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2">
        <v>23</v>
      </c>
      <c r="CZ174" s="2">
        <f t="shared" si="9"/>
        <v>23</v>
      </c>
      <c r="DA174" s="9">
        <v>32</v>
      </c>
      <c r="DB174" s="9">
        <v>80</v>
      </c>
    </row>
    <row r="175" spans="1:106" ht="60" customHeight="1">
      <c r="A175" s="2" t="s">
        <v>1</v>
      </c>
      <c r="B175" s="2" t="s">
        <v>2</v>
      </c>
      <c r="C175" s="2" t="s">
        <v>3</v>
      </c>
      <c r="D175" s="2"/>
      <c r="E175" s="2" t="s">
        <v>223</v>
      </c>
      <c r="F175" s="2" t="s">
        <v>131</v>
      </c>
      <c r="G175" s="2">
        <v>11</v>
      </c>
      <c r="H175" s="2" t="s">
        <v>59</v>
      </c>
      <c r="I175" s="2" t="s">
        <v>59</v>
      </c>
      <c r="J175" s="2" t="s">
        <v>404</v>
      </c>
      <c r="K175" s="2">
        <v>30847136</v>
      </c>
      <c r="L175" s="3">
        <v>29</v>
      </c>
      <c r="M175" s="4"/>
      <c r="N175" s="4"/>
      <c r="O175" s="4"/>
      <c r="P175" s="4"/>
      <c r="Q175" s="4"/>
      <c r="R175" s="5"/>
      <c r="S175" s="5">
        <f>MAX(ROUND(13*(CY175/L175), 0),1)</f>
        <v>13</v>
      </c>
      <c r="T175" s="5">
        <f>MAX(ROUND(11*(CY175/L175), 0),1)</f>
        <v>11</v>
      </c>
      <c r="U175" s="5">
        <f>MAX(ROUND(5*(CY175/L175), 0),1)</f>
        <v>5</v>
      </c>
      <c r="V175" s="5"/>
      <c r="W175" s="4"/>
      <c r="X175" s="5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2">
        <v>29</v>
      </c>
      <c r="CZ175" s="2">
        <f t="shared" si="9"/>
        <v>29</v>
      </c>
      <c r="DA175" s="9">
        <v>34</v>
      </c>
      <c r="DB175" s="9">
        <v>85</v>
      </c>
    </row>
    <row r="176" spans="1:106" ht="60" customHeight="1">
      <c r="A176" s="2" t="s">
        <v>1</v>
      </c>
      <c r="B176" s="2" t="s">
        <v>2</v>
      </c>
      <c r="C176" s="2" t="s">
        <v>3</v>
      </c>
      <c r="D176" s="2"/>
      <c r="E176" s="2" t="s">
        <v>255</v>
      </c>
      <c r="F176" s="2" t="s">
        <v>254</v>
      </c>
      <c r="G176" s="2">
        <v>7</v>
      </c>
      <c r="H176" s="2" t="s">
        <v>59</v>
      </c>
      <c r="I176" s="2" t="s">
        <v>59</v>
      </c>
      <c r="J176" s="2" t="s">
        <v>409</v>
      </c>
      <c r="K176" s="2">
        <v>30847140</v>
      </c>
      <c r="L176" s="3">
        <v>26</v>
      </c>
      <c r="M176" s="4"/>
      <c r="N176" s="4"/>
      <c r="O176" s="4"/>
      <c r="P176" s="4"/>
      <c r="Q176" s="4"/>
      <c r="R176" s="5"/>
      <c r="S176" s="5">
        <f>MAX(ROUND(14*(CY176/L176), 0),1)</f>
        <v>14</v>
      </c>
      <c r="T176" s="5">
        <f>MAX(ROUND(12*(CY176/L176), 0),1)</f>
        <v>12</v>
      </c>
      <c r="U176" s="5"/>
      <c r="V176" s="5"/>
      <c r="W176" s="4"/>
      <c r="X176" s="5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2">
        <v>26</v>
      </c>
      <c r="CZ176" s="2">
        <f t="shared" si="9"/>
        <v>26</v>
      </c>
      <c r="DA176" s="9">
        <v>28</v>
      </c>
      <c r="DB176" s="9">
        <v>70</v>
      </c>
    </row>
    <row r="177" spans="1:106" ht="60" customHeight="1">
      <c r="A177" s="2" t="s">
        <v>1</v>
      </c>
      <c r="B177" s="2" t="s">
        <v>2</v>
      </c>
      <c r="C177" s="2" t="s">
        <v>3</v>
      </c>
      <c r="D177" s="2"/>
      <c r="E177" s="2" t="s">
        <v>256</v>
      </c>
      <c r="F177" s="2" t="s">
        <v>131</v>
      </c>
      <c r="G177" s="2">
        <v>11</v>
      </c>
      <c r="H177" s="2" t="s">
        <v>59</v>
      </c>
      <c r="I177" s="2" t="s">
        <v>59</v>
      </c>
      <c r="J177" s="2" t="s">
        <v>404</v>
      </c>
      <c r="K177" s="2">
        <v>30851000</v>
      </c>
      <c r="L177" s="3">
        <v>43</v>
      </c>
      <c r="M177" s="4"/>
      <c r="N177" s="4"/>
      <c r="O177" s="4"/>
      <c r="P177" s="4"/>
      <c r="Q177" s="4"/>
      <c r="R177" s="5"/>
      <c r="S177" s="5">
        <f>MAX(ROUND(7*(CY177/L177), 0),1)</f>
        <v>7</v>
      </c>
      <c r="T177" s="5">
        <f>MAX(ROUND(20*(CY177/L177), 0),1)</f>
        <v>20</v>
      </c>
      <c r="U177" s="5">
        <f>MAX(ROUND(12*(CY177/L177), 0),1)</f>
        <v>12</v>
      </c>
      <c r="V177" s="5">
        <f>MAX(ROUND(4*(CY177/L177), 0),1)</f>
        <v>4</v>
      </c>
      <c r="W177" s="4"/>
      <c r="X177" s="5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2">
        <v>43</v>
      </c>
      <c r="CZ177" s="2">
        <f t="shared" si="9"/>
        <v>43</v>
      </c>
      <c r="DA177" s="9">
        <v>20</v>
      </c>
      <c r="DB177" s="9">
        <v>50</v>
      </c>
    </row>
    <row r="178" spans="1:106" ht="60" customHeight="1">
      <c r="A178" s="2" t="s">
        <v>1</v>
      </c>
      <c r="B178" s="2" t="s">
        <v>2</v>
      </c>
      <c r="C178" s="2" t="s">
        <v>3</v>
      </c>
      <c r="D178" s="2"/>
      <c r="E178" s="2" t="s">
        <v>256</v>
      </c>
      <c r="F178" s="2" t="s">
        <v>11</v>
      </c>
      <c r="G178" s="2">
        <v>3</v>
      </c>
      <c r="H178" s="2" t="s">
        <v>59</v>
      </c>
      <c r="I178" s="2" t="s">
        <v>59</v>
      </c>
      <c r="J178" s="2" t="s">
        <v>404</v>
      </c>
      <c r="K178" s="2">
        <v>30851001</v>
      </c>
      <c r="L178" s="3">
        <v>18</v>
      </c>
      <c r="M178" s="4"/>
      <c r="N178" s="4"/>
      <c r="O178" s="4"/>
      <c r="P178" s="4"/>
      <c r="Q178" s="4"/>
      <c r="R178" s="5"/>
      <c r="S178" s="5">
        <f>MAX(ROUND(2*(CY178/L178), 0),1)</f>
        <v>2</v>
      </c>
      <c r="T178" s="5">
        <f>MAX(ROUND(16*(CY178/L178), 0),1)</f>
        <v>16</v>
      </c>
      <c r="U178" s="5"/>
      <c r="V178" s="5"/>
      <c r="W178" s="4"/>
      <c r="X178" s="5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2">
        <v>18</v>
      </c>
      <c r="CZ178" s="2">
        <f t="shared" si="9"/>
        <v>18</v>
      </c>
      <c r="DA178" s="9">
        <v>20</v>
      </c>
      <c r="DB178" s="9">
        <v>50</v>
      </c>
    </row>
    <row r="179" spans="1:106" ht="60" customHeight="1">
      <c r="A179" s="2" t="s">
        <v>1</v>
      </c>
      <c r="B179" s="2" t="s">
        <v>2</v>
      </c>
      <c r="C179" s="2" t="s">
        <v>3</v>
      </c>
      <c r="D179" s="2"/>
      <c r="E179" s="2" t="s">
        <v>258</v>
      </c>
      <c r="F179" s="2" t="s">
        <v>259</v>
      </c>
      <c r="G179" s="2">
        <v>53</v>
      </c>
      <c r="H179" s="2" t="s">
        <v>59</v>
      </c>
      <c r="I179" s="2" t="s">
        <v>257</v>
      </c>
      <c r="J179" s="2" t="s">
        <v>422</v>
      </c>
      <c r="K179" s="2">
        <v>30927779</v>
      </c>
      <c r="L179" s="3">
        <v>29</v>
      </c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5">
        <f>MAX(ROUND(29*(CY179/L179), 0),1)</f>
        <v>29</v>
      </c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2">
        <v>29</v>
      </c>
      <c r="CZ179" s="2">
        <f t="shared" si="9"/>
        <v>29</v>
      </c>
      <c r="DA179" s="9">
        <v>10</v>
      </c>
      <c r="DB179" s="9">
        <v>25</v>
      </c>
    </row>
    <row r="180" spans="1:106" ht="60" customHeight="1">
      <c r="A180" s="2" t="s">
        <v>1</v>
      </c>
      <c r="B180" s="2" t="s">
        <v>2</v>
      </c>
      <c r="C180" s="2" t="s">
        <v>84</v>
      </c>
      <c r="D180" s="2"/>
      <c r="E180" s="2" t="s">
        <v>236</v>
      </c>
      <c r="F180" s="2" t="s">
        <v>237</v>
      </c>
      <c r="G180" s="2">
        <v>103</v>
      </c>
      <c r="H180" s="2" t="s">
        <v>4</v>
      </c>
      <c r="I180" s="2" t="s">
        <v>238</v>
      </c>
      <c r="J180" s="2" t="s">
        <v>421</v>
      </c>
      <c r="K180" s="2">
        <v>31019911</v>
      </c>
      <c r="L180" s="3">
        <v>330</v>
      </c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5">
        <f>MAX(ROUND(22*(CY180/L180), 0),1)</f>
        <v>22</v>
      </c>
      <c r="BJ180" s="4"/>
      <c r="BK180" s="5">
        <f>MAX(ROUND(22*(CY180/L180), 0),1)</f>
        <v>22</v>
      </c>
      <c r="BL180" s="4"/>
      <c r="BM180" s="5">
        <f>MAX(ROUND(66*(CY180/L180), 0),1)</f>
        <v>66</v>
      </c>
      <c r="BN180" s="4"/>
      <c r="BO180" s="5">
        <f>MAX(ROUND(88*(CY180/L180), 0),1)</f>
        <v>88</v>
      </c>
      <c r="BP180" s="5">
        <f>MAX(ROUND(66*(CY180/L180), 0),1)</f>
        <v>66</v>
      </c>
      <c r="BQ180" s="4"/>
      <c r="BR180" s="5">
        <f>MAX(ROUND(44*(CY180/L180), 0),1)</f>
        <v>44</v>
      </c>
      <c r="BS180" s="4"/>
      <c r="BT180" s="5">
        <f>MAX(ROUND(22*(CY180/L180), 0),1)</f>
        <v>22</v>
      </c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2">
        <v>330</v>
      </c>
      <c r="CZ180" s="2">
        <f t="shared" ref="CZ180:CZ199" si="10">SUM(M180:CX180)</f>
        <v>330</v>
      </c>
      <c r="DA180" s="9">
        <v>30</v>
      </c>
      <c r="DB180" s="9">
        <v>59.99</v>
      </c>
    </row>
    <row r="181" spans="1:106" ht="60" customHeight="1">
      <c r="A181" s="2" t="s">
        <v>1</v>
      </c>
      <c r="B181" s="2" t="s">
        <v>2</v>
      </c>
      <c r="C181" s="2" t="s">
        <v>84</v>
      </c>
      <c r="D181" s="2"/>
      <c r="E181" s="2" t="s">
        <v>233</v>
      </c>
      <c r="F181" s="2" t="s">
        <v>234</v>
      </c>
      <c r="G181" s="2">
        <v>103</v>
      </c>
      <c r="H181" s="2" t="s">
        <v>4</v>
      </c>
      <c r="I181" s="2" t="s">
        <v>174</v>
      </c>
      <c r="J181" s="2" t="s">
        <v>421</v>
      </c>
      <c r="K181" s="2">
        <v>31035490</v>
      </c>
      <c r="L181" s="3">
        <v>90</v>
      </c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5">
        <f>MAX(ROUND(6*(CY181/L181), 0),1)</f>
        <v>6</v>
      </c>
      <c r="BJ181" s="4"/>
      <c r="BK181" s="5">
        <f>MAX(ROUND(6*(CY181/L181), 0),1)</f>
        <v>6</v>
      </c>
      <c r="BL181" s="4"/>
      <c r="BM181" s="5">
        <f>MAX(ROUND(18*(CY181/L181), 0),1)</f>
        <v>18</v>
      </c>
      <c r="BN181" s="4"/>
      <c r="BO181" s="5">
        <f>MAX(ROUND(24*(CY181/L181), 0),1)</f>
        <v>24</v>
      </c>
      <c r="BP181" s="5">
        <f>MAX(ROUND(18*(CY181/L181), 0),1)</f>
        <v>18</v>
      </c>
      <c r="BQ181" s="4"/>
      <c r="BR181" s="5">
        <f>MAX(ROUND(12*(CY181/L181), 0),1)</f>
        <v>12</v>
      </c>
      <c r="BS181" s="4"/>
      <c r="BT181" s="5">
        <f>MAX(ROUND(6*(CY181/L181), 0),1)</f>
        <v>6</v>
      </c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2">
        <v>90</v>
      </c>
      <c r="CZ181" s="2">
        <f t="shared" si="10"/>
        <v>90</v>
      </c>
      <c r="DA181" s="9">
        <v>22.5</v>
      </c>
      <c r="DB181" s="9">
        <v>44.99</v>
      </c>
    </row>
    <row r="182" spans="1:106" ht="60" customHeight="1">
      <c r="A182" s="2" t="s">
        <v>1</v>
      </c>
      <c r="B182" s="2" t="s">
        <v>2</v>
      </c>
      <c r="C182" s="2" t="s">
        <v>84</v>
      </c>
      <c r="D182" s="2"/>
      <c r="E182" s="2" t="s">
        <v>235</v>
      </c>
      <c r="F182" s="2" t="s">
        <v>11</v>
      </c>
      <c r="G182" s="2">
        <v>3</v>
      </c>
      <c r="H182" s="2" t="s">
        <v>4</v>
      </c>
      <c r="I182" s="2" t="s">
        <v>174</v>
      </c>
      <c r="J182" s="2" t="s">
        <v>421</v>
      </c>
      <c r="K182" s="2">
        <v>31035494</v>
      </c>
      <c r="L182" s="3">
        <v>150</v>
      </c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5">
        <f>MAX(ROUND(10*(CY182/L182), 0),1)</f>
        <v>10</v>
      </c>
      <c r="BJ182" s="4"/>
      <c r="BK182" s="5">
        <f>MAX(ROUND(10*(CY182/L182), 0),1)</f>
        <v>10</v>
      </c>
      <c r="BL182" s="4"/>
      <c r="BM182" s="5">
        <f>MAX(ROUND(30*(CY182/L182), 0),1)</f>
        <v>30</v>
      </c>
      <c r="BN182" s="4"/>
      <c r="BO182" s="5">
        <f>MAX(ROUND(40*(CY182/L182), 0),1)</f>
        <v>40</v>
      </c>
      <c r="BP182" s="5">
        <f>MAX(ROUND(30*(CY182/L182), 0),1)</f>
        <v>30</v>
      </c>
      <c r="BQ182" s="4"/>
      <c r="BR182" s="5">
        <f>MAX(ROUND(20*(CY182/L182), 0),1)</f>
        <v>20</v>
      </c>
      <c r="BS182" s="4"/>
      <c r="BT182" s="5">
        <f>MAX(ROUND(10*(CY182/L182), 0),1)</f>
        <v>10</v>
      </c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2">
        <v>150</v>
      </c>
      <c r="CZ182" s="2">
        <f t="shared" si="10"/>
        <v>150</v>
      </c>
      <c r="DA182" s="9">
        <v>26.5</v>
      </c>
      <c r="DB182" s="9">
        <v>52.99</v>
      </c>
    </row>
    <row r="183" spans="1:106" ht="60" customHeight="1">
      <c r="A183" s="2" t="s">
        <v>1</v>
      </c>
      <c r="B183" s="2" t="s">
        <v>6</v>
      </c>
      <c r="C183" s="2" t="s">
        <v>84</v>
      </c>
      <c r="D183" s="2"/>
      <c r="E183" s="2" t="s">
        <v>243</v>
      </c>
      <c r="F183" s="2" t="s">
        <v>248</v>
      </c>
      <c r="G183" s="2">
        <v>34</v>
      </c>
      <c r="H183" s="2" t="s">
        <v>4</v>
      </c>
      <c r="I183" s="2" t="s">
        <v>140</v>
      </c>
      <c r="J183" s="2" t="s">
        <v>420</v>
      </c>
      <c r="K183" s="2">
        <v>31051137</v>
      </c>
      <c r="L183" s="3">
        <v>270</v>
      </c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5">
        <f>MAX(ROUND(60*(CY183/L183), 0),1)</f>
        <v>60</v>
      </c>
      <c r="BE183" s="5">
        <f>MAX(ROUND(60*(CY183/L183), 0),1)</f>
        <v>60</v>
      </c>
      <c r="BF183" s="5">
        <f>MAX(ROUND(60*(CY183/L183), 0),1)</f>
        <v>60</v>
      </c>
      <c r="BG183" s="4"/>
      <c r="BH183" s="5">
        <f>MAX(ROUND(60*(CY183/L183), 0),1)</f>
        <v>60</v>
      </c>
      <c r="BI183" s="5">
        <f>MAX(ROUND(30*(CY183/L183), 0),1)</f>
        <v>30</v>
      </c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2">
        <v>270</v>
      </c>
      <c r="CZ183" s="2">
        <f t="shared" si="10"/>
        <v>270</v>
      </c>
      <c r="DA183" s="9">
        <v>10</v>
      </c>
      <c r="DB183" s="9">
        <v>19.989999999999998</v>
      </c>
    </row>
    <row r="184" spans="1:106" ht="60" customHeight="1">
      <c r="A184" s="2" t="s">
        <v>1</v>
      </c>
      <c r="B184" s="2" t="s">
        <v>6</v>
      </c>
      <c r="C184" s="2" t="s">
        <v>84</v>
      </c>
      <c r="D184" s="2"/>
      <c r="E184" s="2" t="s">
        <v>243</v>
      </c>
      <c r="F184" s="2" t="s">
        <v>249</v>
      </c>
      <c r="G184" s="2">
        <v>34</v>
      </c>
      <c r="H184" s="2" t="s">
        <v>4</v>
      </c>
      <c r="I184" s="2" t="s">
        <v>140</v>
      </c>
      <c r="J184" s="2" t="s">
        <v>420</v>
      </c>
      <c r="K184" s="2">
        <v>31051139</v>
      </c>
      <c r="L184" s="3">
        <v>108</v>
      </c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5">
        <f>MAX(ROUND(24*(CY184/L184), 0),1)</f>
        <v>24</v>
      </c>
      <c r="BE184" s="5">
        <f>MAX(ROUND(24*(CY184/L184), 0),1)</f>
        <v>24</v>
      </c>
      <c r="BF184" s="5">
        <f>MAX(ROUND(24*(CY184/L184), 0),1)</f>
        <v>24</v>
      </c>
      <c r="BG184" s="4"/>
      <c r="BH184" s="5">
        <f>MAX(ROUND(24*(CY184/L184), 0),1)</f>
        <v>24</v>
      </c>
      <c r="BI184" s="5">
        <f>MAX(ROUND(12*(CY184/L184), 0),1)</f>
        <v>12</v>
      </c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2">
        <v>108</v>
      </c>
      <c r="CZ184" s="2">
        <f t="shared" si="10"/>
        <v>108</v>
      </c>
      <c r="DA184" s="9">
        <v>10</v>
      </c>
      <c r="DB184" s="9">
        <v>19.989999999999998</v>
      </c>
    </row>
    <row r="185" spans="1:106" ht="60" customHeight="1">
      <c r="A185" s="2" t="s">
        <v>1</v>
      </c>
      <c r="B185" s="2" t="s">
        <v>6</v>
      </c>
      <c r="C185" s="2" t="s">
        <v>84</v>
      </c>
      <c r="D185" s="2"/>
      <c r="E185" s="2" t="s">
        <v>243</v>
      </c>
      <c r="F185" s="2" t="s">
        <v>260</v>
      </c>
      <c r="G185" s="2">
        <v>81</v>
      </c>
      <c r="H185" s="2" t="s">
        <v>4</v>
      </c>
      <c r="I185" s="2" t="s">
        <v>140</v>
      </c>
      <c r="J185" s="2" t="s">
        <v>420</v>
      </c>
      <c r="K185" s="2">
        <v>31051140</v>
      </c>
      <c r="L185" s="3">
        <v>324</v>
      </c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5">
        <f>MAX(ROUND(72*(CY185/L185), 0),1)</f>
        <v>72</v>
      </c>
      <c r="BE185" s="5">
        <f>MAX(ROUND(72*(CY185/L185), 0),1)</f>
        <v>72</v>
      </c>
      <c r="BF185" s="5">
        <f>MAX(ROUND(72*(CY185/L185), 0),1)</f>
        <v>72</v>
      </c>
      <c r="BG185" s="4"/>
      <c r="BH185" s="5">
        <f>MAX(ROUND(72*(CY185/L185), 0),1)</f>
        <v>72</v>
      </c>
      <c r="BI185" s="5">
        <f>MAX(ROUND(36*(CY185/L185), 0),1)</f>
        <v>36</v>
      </c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2">
        <v>324</v>
      </c>
      <c r="CZ185" s="2">
        <f t="shared" si="10"/>
        <v>324</v>
      </c>
      <c r="DA185" s="9">
        <v>10</v>
      </c>
      <c r="DB185" s="9">
        <v>19.989999999999998</v>
      </c>
    </row>
    <row r="186" spans="1:106" ht="60" customHeight="1">
      <c r="A186" s="2" t="s">
        <v>1</v>
      </c>
      <c r="B186" s="2" t="s">
        <v>6</v>
      </c>
      <c r="C186" s="2" t="s">
        <v>84</v>
      </c>
      <c r="D186" s="2"/>
      <c r="E186" s="2" t="s">
        <v>239</v>
      </c>
      <c r="F186" s="2" t="s">
        <v>240</v>
      </c>
      <c r="G186" s="2">
        <v>123</v>
      </c>
      <c r="H186" s="2" t="s">
        <v>4</v>
      </c>
      <c r="I186" s="2" t="s">
        <v>141</v>
      </c>
      <c r="J186" s="2" t="s">
        <v>421</v>
      </c>
      <c r="K186" s="2">
        <v>31051206</v>
      </c>
      <c r="L186" s="3">
        <v>264</v>
      </c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5">
        <f>MAX(ROUND(88*(CY186/L186), 0),1)</f>
        <v>88</v>
      </c>
      <c r="BE186" s="5">
        <f>MAX(ROUND(88*(CY186/L186), 0),1)</f>
        <v>88</v>
      </c>
      <c r="BF186" s="5">
        <f>MAX(ROUND(44*(CY186/L186), 0),1)</f>
        <v>44</v>
      </c>
      <c r="BG186" s="4"/>
      <c r="BH186" s="5">
        <f>MAX(ROUND(44*(CY186/L186), 0),1)</f>
        <v>44</v>
      </c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2">
        <v>264</v>
      </c>
      <c r="CZ186" s="2">
        <f t="shared" si="10"/>
        <v>264</v>
      </c>
      <c r="DA186" s="9">
        <v>25</v>
      </c>
      <c r="DB186" s="9">
        <v>49.99</v>
      </c>
    </row>
    <row r="187" spans="1:106" ht="60" customHeight="1">
      <c r="A187" s="2" t="s">
        <v>1</v>
      </c>
      <c r="B187" s="2" t="s">
        <v>109</v>
      </c>
      <c r="C187" s="2" t="s">
        <v>84</v>
      </c>
      <c r="D187" s="2"/>
      <c r="E187" s="2" t="s">
        <v>241</v>
      </c>
      <c r="F187" s="2" t="s">
        <v>240</v>
      </c>
      <c r="G187" s="2">
        <v>123</v>
      </c>
      <c r="H187" s="2" t="s">
        <v>4</v>
      </c>
      <c r="I187" s="2" t="s">
        <v>141</v>
      </c>
      <c r="J187" s="2" t="s">
        <v>421</v>
      </c>
      <c r="K187" s="2">
        <v>31051209</v>
      </c>
      <c r="L187" s="3">
        <v>15</v>
      </c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5">
        <f>MAX(ROUND(1*(CY187/L187), 0),1)</f>
        <v>1</v>
      </c>
      <c r="AW187" s="5">
        <f>MAX(ROUND(1*(CY187/L187), 0),1)</f>
        <v>1</v>
      </c>
      <c r="AX187" s="5">
        <f>MAX(ROUND(1*(CY187/L187), 0),1)</f>
        <v>1</v>
      </c>
      <c r="AY187" s="5">
        <f>MAX(ROUND(2*(CY187/L187), 0),1)</f>
        <v>2</v>
      </c>
      <c r="AZ187" s="5">
        <f>MAX(ROUND(3*(CY187/L187), 0),1)</f>
        <v>3</v>
      </c>
      <c r="BA187" s="5">
        <f>MAX(ROUND(3*(CY187/L187), 0),1)</f>
        <v>3</v>
      </c>
      <c r="BB187" s="5">
        <f>MAX(ROUND(2*(CY187/L187), 0),1)</f>
        <v>2</v>
      </c>
      <c r="BC187" s="5">
        <f>MAX(ROUND(2*(CY187/L187), 0),1)</f>
        <v>2</v>
      </c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2">
        <v>15</v>
      </c>
      <c r="CZ187" s="2">
        <f t="shared" si="10"/>
        <v>15</v>
      </c>
      <c r="DA187" s="9">
        <v>21.5</v>
      </c>
      <c r="DB187" s="9">
        <v>42.99</v>
      </c>
    </row>
    <row r="188" spans="1:106" ht="60" customHeight="1">
      <c r="A188" s="2" t="s">
        <v>1</v>
      </c>
      <c r="B188" s="2" t="s">
        <v>2</v>
      </c>
      <c r="C188" s="2" t="s">
        <v>3</v>
      </c>
      <c r="D188" s="2"/>
      <c r="E188" s="2" t="s">
        <v>71</v>
      </c>
      <c r="F188" s="2" t="s">
        <v>218</v>
      </c>
      <c r="G188" s="2">
        <v>114</v>
      </c>
      <c r="H188" s="2" t="s">
        <v>4</v>
      </c>
      <c r="I188" s="2" t="s">
        <v>10</v>
      </c>
      <c r="J188" s="2" t="s">
        <v>414</v>
      </c>
      <c r="K188" s="2">
        <v>31161998</v>
      </c>
      <c r="L188" s="3">
        <v>75</v>
      </c>
      <c r="M188" s="4"/>
      <c r="N188" s="4"/>
      <c r="O188" s="4"/>
      <c r="P188" s="4"/>
      <c r="Q188" s="4"/>
      <c r="R188" s="4"/>
      <c r="S188" s="5">
        <f>MAX(ROUND(10*(CY188/L188), 0),1)</f>
        <v>10</v>
      </c>
      <c r="T188" s="5">
        <f>MAX(ROUND(20*(CY188/L188), 0),1)</f>
        <v>20</v>
      </c>
      <c r="U188" s="5">
        <f>MAX(ROUND(20*(CY188/L188), 0),1)</f>
        <v>20</v>
      </c>
      <c r="V188" s="5">
        <f>MAX(ROUND(15*(CY188/L188), 0),1)</f>
        <v>15</v>
      </c>
      <c r="W188" s="5">
        <f>MAX(ROUND(5*(CY188/L188), 0),1)</f>
        <v>5</v>
      </c>
      <c r="X188" s="4"/>
      <c r="Y188" s="5">
        <f>MAX(ROUND(5*(CY188/L188), 0),1)</f>
        <v>5</v>
      </c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2">
        <v>75</v>
      </c>
      <c r="CZ188" s="2">
        <f t="shared" si="10"/>
        <v>75</v>
      </c>
      <c r="DA188" s="9">
        <v>19.510000000000002</v>
      </c>
      <c r="DB188" s="9">
        <v>39.99</v>
      </c>
    </row>
    <row r="189" spans="1:106" ht="60" customHeight="1">
      <c r="A189" s="2" t="s">
        <v>1</v>
      </c>
      <c r="B189" s="2" t="s">
        <v>2</v>
      </c>
      <c r="C189" s="2" t="s">
        <v>3</v>
      </c>
      <c r="D189" s="2"/>
      <c r="E189" s="2" t="s">
        <v>74</v>
      </c>
      <c r="F189" s="2" t="s">
        <v>245</v>
      </c>
      <c r="G189" s="2">
        <v>163</v>
      </c>
      <c r="H189" s="2" t="s">
        <v>4</v>
      </c>
      <c r="I189" s="2" t="s">
        <v>10</v>
      </c>
      <c r="J189" s="2" t="s">
        <v>404</v>
      </c>
      <c r="K189" s="2">
        <v>31162004</v>
      </c>
      <c r="L189" s="3">
        <v>15</v>
      </c>
      <c r="M189" s="4"/>
      <c r="N189" s="4"/>
      <c r="O189" s="4"/>
      <c r="P189" s="4"/>
      <c r="Q189" s="4"/>
      <c r="R189" s="4"/>
      <c r="S189" s="5">
        <f>MAX(ROUND(2*(CY189/L189), 0),1)</f>
        <v>2</v>
      </c>
      <c r="T189" s="5">
        <f>MAX(ROUND(3*(CY189/L189), 0),1)</f>
        <v>3</v>
      </c>
      <c r="U189" s="5">
        <f>MAX(ROUND(4*(CY189/L189), 0),1)</f>
        <v>4</v>
      </c>
      <c r="V189" s="5">
        <f>MAX(ROUND(3*(CY189/L189), 0),1)</f>
        <v>3</v>
      </c>
      <c r="W189" s="4"/>
      <c r="X189" s="5">
        <f>MAX(ROUND(2*(CY189/L189), 0),1)</f>
        <v>2</v>
      </c>
      <c r="Y189" s="5">
        <f>MAX(ROUND(1*(CY189/L189), 0),1)</f>
        <v>1</v>
      </c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2">
        <v>15</v>
      </c>
      <c r="CZ189" s="2">
        <f t="shared" si="10"/>
        <v>15</v>
      </c>
      <c r="DA189" s="9">
        <v>7.31</v>
      </c>
      <c r="DB189" s="9">
        <v>14.99</v>
      </c>
    </row>
    <row r="190" spans="1:106" ht="60" customHeight="1">
      <c r="A190" s="2" t="s">
        <v>1</v>
      </c>
      <c r="B190" s="2" t="s">
        <v>2</v>
      </c>
      <c r="C190" s="2" t="s">
        <v>3</v>
      </c>
      <c r="D190" s="2"/>
      <c r="E190" s="2" t="s">
        <v>74</v>
      </c>
      <c r="F190" s="2" t="s">
        <v>227</v>
      </c>
      <c r="G190" s="2">
        <v>33</v>
      </c>
      <c r="H190" s="2" t="s">
        <v>4</v>
      </c>
      <c r="I190" s="2" t="s">
        <v>10</v>
      </c>
      <c r="J190" s="2" t="s">
        <v>404</v>
      </c>
      <c r="K190" s="2">
        <v>31162008</v>
      </c>
      <c r="L190" s="3">
        <v>15</v>
      </c>
      <c r="M190" s="4"/>
      <c r="N190" s="4"/>
      <c r="O190" s="4"/>
      <c r="P190" s="4"/>
      <c r="Q190" s="4"/>
      <c r="R190" s="4"/>
      <c r="S190" s="5">
        <f>MAX(ROUND(2*(CY190/L190), 0),1)</f>
        <v>2</v>
      </c>
      <c r="T190" s="5">
        <f>MAX(ROUND(3*(CY190/L190), 0),1)</f>
        <v>3</v>
      </c>
      <c r="U190" s="5">
        <f>MAX(ROUND(4*(CY190/L190), 0),1)</f>
        <v>4</v>
      </c>
      <c r="V190" s="5">
        <f>MAX(ROUND(3*(CY190/L190), 0),1)</f>
        <v>3</v>
      </c>
      <c r="W190" s="4"/>
      <c r="X190" s="5">
        <f>MAX(ROUND(2*(CY190/L190), 0),1)</f>
        <v>2</v>
      </c>
      <c r="Y190" s="5">
        <f>MAX(ROUND(1*(CY190/L190), 0),1)</f>
        <v>1</v>
      </c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2">
        <v>15</v>
      </c>
      <c r="CZ190" s="2">
        <f t="shared" si="10"/>
        <v>15</v>
      </c>
      <c r="DA190" s="9">
        <v>7.31</v>
      </c>
      <c r="DB190" s="9">
        <v>14.99</v>
      </c>
    </row>
    <row r="191" spans="1:106" ht="60" customHeight="1">
      <c r="A191" s="2" t="s">
        <v>1</v>
      </c>
      <c r="B191" s="2" t="s">
        <v>2</v>
      </c>
      <c r="C191" s="2" t="s">
        <v>3</v>
      </c>
      <c r="D191" s="2"/>
      <c r="E191" s="2" t="s">
        <v>92</v>
      </c>
      <c r="F191" s="2" t="s">
        <v>113</v>
      </c>
      <c r="G191" s="2">
        <v>33</v>
      </c>
      <c r="H191" s="2" t="s">
        <v>4</v>
      </c>
      <c r="I191" s="2" t="s">
        <v>10</v>
      </c>
      <c r="J191" s="2" t="s">
        <v>414</v>
      </c>
      <c r="K191" s="2">
        <v>31162027</v>
      </c>
      <c r="L191" s="3">
        <v>690</v>
      </c>
      <c r="M191" s="4"/>
      <c r="N191" s="4"/>
      <c r="O191" s="4"/>
      <c r="P191" s="4"/>
      <c r="Q191" s="4"/>
      <c r="R191" s="4"/>
      <c r="S191" s="5">
        <f>MAX(ROUND(92*(CY191/L191), 0),1)</f>
        <v>92</v>
      </c>
      <c r="T191" s="5">
        <f>MAX(ROUND(184*(CY191/L191), 0),1)</f>
        <v>184</v>
      </c>
      <c r="U191" s="5">
        <f>MAX(ROUND(184*(CY191/L191), 0),1)</f>
        <v>184</v>
      </c>
      <c r="V191" s="5">
        <f>MAX(ROUND(138*(CY191/L191), 0),1)</f>
        <v>138</v>
      </c>
      <c r="W191" s="4"/>
      <c r="X191" s="5">
        <f>MAX(ROUND(46*(CY191/L191), 0),1)</f>
        <v>46</v>
      </c>
      <c r="Y191" s="5">
        <f>MAX(ROUND(46*(CY191/L191), 0),1)</f>
        <v>46</v>
      </c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2">
        <v>690</v>
      </c>
      <c r="CZ191" s="2">
        <f t="shared" si="10"/>
        <v>690</v>
      </c>
      <c r="DA191" s="9">
        <v>16.09</v>
      </c>
      <c r="DB191" s="9">
        <v>32.99</v>
      </c>
    </row>
    <row r="192" spans="1:106" ht="60" customHeight="1">
      <c r="A192" s="2" t="s">
        <v>1</v>
      </c>
      <c r="B192" s="2" t="s">
        <v>2</v>
      </c>
      <c r="C192" s="2" t="s">
        <v>3</v>
      </c>
      <c r="D192" s="2"/>
      <c r="E192" s="2" t="s">
        <v>92</v>
      </c>
      <c r="F192" s="2" t="s">
        <v>184</v>
      </c>
      <c r="G192" s="2">
        <v>42</v>
      </c>
      <c r="H192" s="2" t="s">
        <v>4</v>
      </c>
      <c r="I192" s="2" t="s">
        <v>10</v>
      </c>
      <c r="J192" s="2" t="s">
        <v>414</v>
      </c>
      <c r="K192" s="2">
        <v>31162028</v>
      </c>
      <c r="L192" s="3">
        <v>405</v>
      </c>
      <c r="M192" s="4"/>
      <c r="N192" s="4"/>
      <c r="O192" s="4"/>
      <c r="P192" s="4"/>
      <c r="Q192" s="4"/>
      <c r="R192" s="4"/>
      <c r="S192" s="5">
        <f>MAX(ROUND(54*(CY192/L192), 0),1)</f>
        <v>54</v>
      </c>
      <c r="T192" s="5">
        <f>MAX(ROUND(108*(CY192/L192), 0),1)</f>
        <v>108</v>
      </c>
      <c r="U192" s="5">
        <f>MAX(ROUND(108*(CY192/L192), 0),1)</f>
        <v>108</v>
      </c>
      <c r="V192" s="5">
        <f>MAX(ROUND(81*(CY192/L192), 0),1)</f>
        <v>81</v>
      </c>
      <c r="W192" s="4"/>
      <c r="X192" s="5">
        <f>MAX(ROUND(27*(CY192/L192), 0),1)</f>
        <v>27</v>
      </c>
      <c r="Y192" s="5">
        <f>MAX(ROUND(27*(CY192/L192), 0),1)</f>
        <v>27</v>
      </c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2">
        <v>405</v>
      </c>
      <c r="CZ192" s="2">
        <f t="shared" si="10"/>
        <v>405</v>
      </c>
      <c r="DA192" s="9">
        <v>16.09</v>
      </c>
      <c r="DB192" s="9">
        <v>32.99</v>
      </c>
    </row>
    <row r="193" spans="1:106" ht="60" customHeight="1">
      <c r="A193" s="2" t="s">
        <v>1</v>
      </c>
      <c r="B193" s="2" t="s">
        <v>6</v>
      </c>
      <c r="C193" s="2" t="s">
        <v>3</v>
      </c>
      <c r="D193" s="2"/>
      <c r="E193" s="2" t="s">
        <v>169</v>
      </c>
      <c r="F193" s="2" t="s">
        <v>261</v>
      </c>
      <c r="G193" s="2">
        <v>103</v>
      </c>
      <c r="H193" s="2" t="s">
        <v>4</v>
      </c>
      <c r="I193" s="2" t="s">
        <v>106</v>
      </c>
      <c r="J193" s="2" t="s">
        <v>414</v>
      </c>
      <c r="K193" s="2">
        <v>31961247</v>
      </c>
      <c r="L193" s="3">
        <v>765</v>
      </c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5"/>
      <c r="CM193" s="5"/>
      <c r="CN193" s="5">
        <f>MAX(ROUND(78*(CY193/L193), 0),1)</f>
        <v>78</v>
      </c>
      <c r="CO193" s="4"/>
      <c r="CP193" s="5">
        <f>MAX(ROUND(185*(CY193/L193), 0),1)</f>
        <v>185</v>
      </c>
      <c r="CQ193" s="4"/>
      <c r="CR193" s="5">
        <f>MAX(ROUND(222*(CY193/L193), 0),1)</f>
        <v>222</v>
      </c>
      <c r="CS193" s="4"/>
      <c r="CT193" s="4"/>
      <c r="CU193" s="5">
        <f>MAX(ROUND(188*(CY193/L193), 0),1)</f>
        <v>188</v>
      </c>
      <c r="CV193" s="5">
        <f>MAX(ROUND(92*(CY193/L193), 0),1)</f>
        <v>92</v>
      </c>
      <c r="CW193" s="4"/>
      <c r="CX193" s="4"/>
      <c r="CY193" s="2">
        <v>765</v>
      </c>
      <c r="CZ193" s="2">
        <f t="shared" si="10"/>
        <v>765</v>
      </c>
      <c r="DA193" s="9">
        <v>14.63</v>
      </c>
      <c r="DB193" s="9">
        <v>29.99</v>
      </c>
    </row>
    <row r="194" spans="1:106" ht="60" customHeight="1">
      <c r="A194" s="2" t="s">
        <v>1</v>
      </c>
      <c r="B194" s="2" t="s">
        <v>6</v>
      </c>
      <c r="C194" s="2" t="s">
        <v>3</v>
      </c>
      <c r="D194" s="2"/>
      <c r="E194" s="2" t="s">
        <v>262</v>
      </c>
      <c r="F194" s="2" t="s">
        <v>261</v>
      </c>
      <c r="G194" s="2">
        <v>103</v>
      </c>
      <c r="H194" s="2" t="s">
        <v>4</v>
      </c>
      <c r="I194" s="2" t="s">
        <v>106</v>
      </c>
      <c r="J194" s="2" t="s">
        <v>402</v>
      </c>
      <c r="K194" s="2">
        <v>31961251</v>
      </c>
      <c r="L194" s="3">
        <v>103</v>
      </c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5"/>
      <c r="CM194" s="5"/>
      <c r="CN194" s="5">
        <f>MAX(ROUND(7*(CY194/L194), 0),1)</f>
        <v>7</v>
      </c>
      <c r="CO194" s="4"/>
      <c r="CP194" s="5">
        <f>MAX(ROUND(8*(CY194/L194), 0),1)</f>
        <v>8</v>
      </c>
      <c r="CQ194" s="4"/>
      <c r="CR194" s="5">
        <f>MAX(ROUND(43*(CY194/L194), 0),1)</f>
        <v>43</v>
      </c>
      <c r="CS194" s="4"/>
      <c r="CT194" s="4"/>
      <c r="CU194" s="5">
        <f>MAX(ROUND(38*(CY194/L194), 0),1)</f>
        <v>38</v>
      </c>
      <c r="CV194" s="5">
        <f>MAX(ROUND(7*(CY194/L194), 0),1)</f>
        <v>7</v>
      </c>
      <c r="CW194" s="4"/>
      <c r="CX194" s="4"/>
      <c r="CY194" s="2">
        <v>103</v>
      </c>
      <c r="CZ194" s="2">
        <f t="shared" si="10"/>
        <v>103</v>
      </c>
      <c r="DA194" s="9">
        <v>14.63</v>
      </c>
      <c r="DB194" s="9">
        <v>29.99</v>
      </c>
    </row>
    <row r="195" spans="1:106" ht="60" customHeight="1">
      <c r="A195" s="2" t="s">
        <v>1</v>
      </c>
      <c r="B195" s="2" t="s">
        <v>2</v>
      </c>
      <c r="C195" s="2" t="s">
        <v>81</v>
      </c>
      <c r="D195" s="2"/>
      <c r="E195" s="2" t="s">
        <v>265</v>
      </c>
      <c r="F195" s="2" t="s">
        <v>23</v>
      </c>
      <c r="G195" s="2">
        <v>4</v>
      </c>
      <c r="H195" s="2" t="s">
        <v>82</v>
      </c>
      <c r="I195" s="2" t="s">
        <v>83</v>
      </c>
      <c r="J195" s="2" t="s">
        <v>413</v>
      </c>
      <c r="K195" s="2">
        <v>32653852</v>
      </c>
      <c r="L195" s="3">
        <v>16</v>
      </c>
      <c r="M195" s="4"/>
      <c r="N195" s="4"/>
      <c r="O195" s="4"/>
      <c r="P195" s="4"/>
      <c r="Q195" s="4"/>
      <c r="R195" s="5">
        <f>MAX(ROUND(6*(CY195/L195), 0),1)</f>
        <v>6</v>
      </c>
      <c r="S195" s="5">
        <f>MAX(ROUND(6*(CY195/L195), 0),1)</f>
        <v>6</v>
      </c>
      <c r="T195" s="5">
        <f>MAX(ROUND(3*(CY195/L195), 0),1)</f>
        <v>3</v>
      </c>
      <c r="U195" s="5">
        <f>MAX(ROUND(1*(CY195/L195), 0),1)</f>
        <v>1</v>
      </c>
      <c r="V195" s="5"/>
      <c r="W195" s="4"/>
      <c r="X195" s="5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2">
        <v>16</v>
      </c>
      <c r="CZ195" s="2">
        <f t="shared" si="10"/>
        <v>16</v>
      </c>
      <c r="DA195" s="9">
        <v>25</v>
      </c>
      <c r="DB195" s="9">
        <v>50</v>
      </c>
    </row>
    <row r="196" spans="1:106" ht="60" customHeight="1">
      <c r="A196" s="2" t="s">
        <v>1</v>
      </c>
      <c r="B196" s="2" t="s">
        <v>2</v>
      </c>
      <c r="C196" s="2" t="s">
        <v>81</v>
      </c>
      <c r="D196" s="2"/>
      <c r="E196" s="2" t="s">
        <v>266</v>
      </c>
      <c r="F196" s="2" t="s">
        <v>264</v>
      </c>
      <c r="G196" s="2">
        <v>1</v>
      </c>
      <c r="H196" s="2" t="s">
        <v>82</v>
      </c>
      <c r="I196" s="2" t="s">
        <v>83</v>
      </c>
      <c r="J196" s="2" t="s">
        <v>412</v>
      </c>
      <c r="K196" s="2">
        <v>32653856</v>
      </c>
      <c r="L196" s="3">
        <v>35</v>
      </c>
      <c r="M196" s="4"/>
      <c r="N196" s="4"/>
      <c r="O196" s="4"/>
      <c r="P196" s="4"/>
      <c r="Q196" s="4"/>
      <c r="R196" s="4"/>
      <c r="S196" s="5">
        <f>MAX(ROUND(15*(CY196/L196), 0),1)</f>
        <v>15</v>
      </c>
      <c r="T196" s="5">
        <f>MAX(ROUND(7*(CY196/L196), 0),1)</f>
        <v>7</v>
      </c>
      <c r="U196" s="5">
        <f>MAX(ROUND(4*(CY196/L196), 0),1)</f>
        <v>4</v>
      </c>
      <c r="V196" s="5">
        <f>MAX(ROUND(9*(CY196/L196), 0),1)</f>
        <v>9</v>
      </c>
      <c r="W196" s="4"/>
      <c r="X196" s="5"/>
      <c r="Y196" s="5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2">
        <v>35</v>
      </c>
      <c r="CZ196" s="2">
        <f t="shared" si="10"/>
        <v>35</v>
      </c>
      <c r="DA196" s="9">
        <v>47.5</v>
      </c>
      <c r="DB196" s="9">
        <v>95</v>
      </c>
    </row>
    <row r="197" spans="1:106" ht="60" customHeight="1">
      <c r="A197" s="2" t="s">
        <v>1</v>
      </c>
      <c r="B197" s="2" t="s">
        <v>2</v>
      </c>
      <c r="C197" s="2" t="s">
        <v>81</v>
      </c>
      <c r="D197" s="2"/>
      <c r="E197" s="2" t="s">
        <v>267</v>
      </c>
      <c r="F197" s="2" t="s">
        <v>264</v>
      </c>
      <c r="G197" s="2">
        <v>1</v>
      </c>
      <c r="H197" s="2" t="s">
        <v>82</v>
      </c>
      <c r="I197" s="2" t="s">
        <v>103</v>
      </c>
      <c r="J197" s="2" t="s">
        <v>412</v>
      </c>
      <c r="K197" s="2">
        <v>32740565</v>
      </c>
      <c r="L197" s="3">
        <v>228</v>
      </c>
      <c r="M197" s="4"/>
      <c r="N197" s="4"/>
      <c r="O197" s="4"/>
      <c r="P197" s="4"/>
      <c r="Q197" s="4"/>
      <c r="R197" s="5">
        <f>MAX(ROUND(56*(CY197/L197), 0),1)</f>
        <v>56</v>
      </c>
      <c r="S197" s="5">
        <f>MAX(ROUND(169*(CY197/L197), 0),1)</f>
        <v>169</v>
      </c>
      <c r="T197" s="5">
        <f>MAX(ROUND(3*(CY197/L197), 0),1)</f>
        <v>3</v>
      </c>
      <c r="U197" s="5"/>
      <c r="V197" s="5"/>
      <c r="W197" s="4"/>
      <c r="X197" s="5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2">
        <v>228</v>
      </c>
      <c r="CZ197" s="2">
        <f t="shared" si="10"/>
        <v>228</v>
      </c>
      <c r="DA197" s="9">
        <v>47.5</v>
      </c>
      <c r="DB197" s="9">
        <v>95</v>
      </c>
    </row>
    <row r="198" spans="1:106" ht="60" customHeight="1">
      <c r="A198" s="2" t="s">
        <v>1</v>
      </c>
      <c r="B198" s="2" t="s">
        <v>2</v>
      </c>
      <c r="C198" s="2" t="s">
        <v>126</v>
      </c>
      <c r="D198" s="2"/>
      <c r="E198" s="2" t="s">
        <v>268</v>
      </c>
      <c r="F198" s="2" t="s">
        <v>128</v>
      </c>
      <c r="G198" s="2">
        <v>1</v>
      </c>
      <c r="H198" s="2" t="s">
        <v>82</v>
      </c>
      <c r="I198" s="2" t="s">
        <v>129</v>
      </c>
      <c r="J198" s="2" t="s">
        <v>412</v>
      </c>
      <c r="K198" s="2">
        <v>33433495</v>
      </c>
      <c r="L198" s="3">
        <v>14</v>
      </c>
      <c r="M198" s="4"/>
      <c r="N198" s="4"/>
      <c r="O198" s="4"/>
      <c r="P198" s="4"/>
      <c r="Q198" s="4"/>
      <c r="R198" s="4"/>
      <c r="S198" s="5">
        <f>MAX(ROUND(2*(CY198/L198), 0),1)</f>
        <v>2</v>
      </c>
      <c r="T198" s="5">
        <f>MAX(ROUND(2*(CY198/L198), 0),1)</f>
        <v>2</v>
      </c>
      <c r="U198" s="5">
        <f>MAX(ROUND(2*(CY198/L198), 0),1)</f>
        <v>2</v>
      </c>
      <c r="V198" s="5">
        <f>MAX(ROUND(5*(CY198/L198), 0),1)</f>
        <v>5</v>
      </c>
      <c r="W198" s="4"/>
      <c r="X198" s="5">
        <f>MAX(ROUND(3*(CY198/L198), 0),1)</f>
        <v>3</v>
      </c>
      <c r="Y198" s="5"/>
      <c r="Z198" s="5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2">
        <v>14</v>
      </c>
      <c r="CZ198" s="2">
        <f t="shared" si="10"/>
        <v>14</v>
      </c>
      <c r="DA198" s="9">
        <v>47.5</v>
      </c>
      <c r="DB198" s="9">
        <v>95</v>
      </c>
    </row>
    <row r="199" spans="1:106" ht="60" customHeight="1">
      <c r="A199" s="2" t="s">
        <v>1</v>
      </c>
      <c r="B199" s="2" t="s">
        <v>2</v>
      </c>
      <c r="C199" s="2" t="s">
        <v>3</v>
      </c>
      <c r="D199" s="2"/>
      <c r="E199" s="2" t="s">
        <v>263</v>
      </c>
      <c r="F199" s="2" t="s">
        <v>198</v>
      </c>
      <c r="G199" s="2">
        <v>10</v>
      </c>
      <c r="H199" s="2" t="s">
        <v>4</v>
      </c>
      <c r="I199" s="2" t="s">
        <v>5</v>
      </c>
      <c r="J199" s="2" t="s">
        <v>404</v>
      </c>
      <c r="K199" s="2">
        <v>33515618</v>
      </c>
      <c r="L199" s="3">
        <v>38</v>
      </c>
      <c r="M199" s="4"/>
      <c r="N199" s="4"/>
      <c r="O199" s="4"/>
      <c r="P199" s="4"/>
      <c r="Q199" s="4"/>
      <c r="R199" s="4"/>
      <c r="S199" s="5"/>
      <c r="T199" s="5"/>
      <c r="U199" s="5"/>
      <c r="V199" s="5">
        <f>MAX(ROUND(5*(CY199/L199), 0),1)</f>
        <v>5</v>
      </c>
      <c r="W199" s="4"/>
      <c r="X199" s="5">
        <f>MAX(ROUND(33*(CY199/L199), 0),1)</f>
        <v>33</v>
      </c>
      <c r="Y199" s="5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  <c r="BM199" s="4"/>
      <c r="BN199" s="4"/>
      <c r="BO199" s="4"/>
      <c r="BP199" s="4"/>
      <c r="BQ199" s="4"/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2">
        <v>38</v>
      </c>
      <c r="CZ199" s="2">
        <f t="shared" si="10"/>
        <v>38</v>
      </c>
      <c r="DA199" s="9">
        <v>11.7</v>
      </c>
      <c r="DB199" s="9">
        <v>23.99</v>
      </c>
    </row>
    <row r="200" spans="1:106" ht="60" customHeight="1">
      <c r="A200" s="2" t="s">
        <v>1</v>
      </c>
      <c r="B200" s="2" t="s">
        <v>6</v>
      </c>
      <c r="C200" s="2" t="s">
        <v>7</v>
      </c>
      <c r="D200" s="2"/>
      <c r="E200" s="2" t="s">
        <v>269</v>
      </c>
      <c r="F200" s="2" t="s">
        <v>272</v>
      </c>
      <c r="G200" s="2">
        <v>8</v>
      </c>
      <c r="H200" s="2" t="s">
        <v>7</v>
      </c>
      <c r="I200" s="2" t="s">
        <v>270</v>
      </c>
      <c r="J200" s="2" t="s">
        <v>404</v>
      </c>
      <c r="K200" s="2">
        <v>33679750</v>
      </c>
      <c r="L200" s="3">
        <v>225</v>
      </c>
      <c r="M200" s="4"/>
      <c r="N200" s="5">
        <f>MAX(ROUND(55*(CY200/L200), 0),1)</f>
        <v>55</v>
      </c>
      <c r="O200" s="4"/>
      <c r="P200" s="5">
        <f>MAX(ROUND(97*(CY200/L200), 0),1)</f>
        <v>97</v>
      </c>
      <c r="Q200" s="4"/>
      <c r="R200" s="5">
        <f>MAX(ROUND(73*(CY200/L200), 0),1)</f>
        <v>73</v>
      </c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2">
        <v>225</v>
      </c>
      <c r="CZ200" s="2">
        <f t="shared" ref="CZ200:CZ205" si="11">SUM(M200:CX200)</f>
        <v>225</v>
      </c>
      <c r="DA200" s="9">
        <v>13.5</v>
      </c>
      <c r="DB200" s="9">
        <v>27</v>
      </c>
    </row>
    <row r="201" spans="1:106" ht="60" customHeight="1">
      <c r="A201" s="2" t="s">
        <v>1</v>
      </c>
      <c r="B201" s="2" t="s">
        <v>2</v>
      </c>
      <c r="C201" s="2" t="s">
        <v>7</v>
      </c>
      <c r="D201" s="2"/>
      <c r="E201" s="2" t="s">
        <v>269</v>
      </c>
      <c r="F201" s="2" t="s">
        <v>272</v>
      </c>
      <c r="G201" s="2">
        <v>8</v>
      </c>
      <c r="H201" s="2" t="s">
        <v>7</v>
      </c>
      <c r="I201" s="2" t="s">
        <v>270</v>
      </c>
      <c r="J201" s="2" t="s">
        <v>404</v>
      </c>
      <c r="K201" s="2">
        <v>33679755</v>
      </c>
      <c r="L201" s="3">
        <v>479</v>
      </c>
      <c r="M201" s="4"/>
      <c r="N201" s="4"/>
      <c r="O201" s="4"/>
      <c r="P201" s="4"/>
      <c r="Q201" s="4"/>
      <c r="R201" s="4"/>
      <c r="S201" s="5">
        <f>MAX(ROUND(182*(CY201/L201), 0),1)</f>
        <v>182</v>
      </c>
      <c r="T201" s="5">
        <f>MAX(ROUND(101*(CY201/L201), 0),1)</f>
        <v>101</v>
      </c>
      <c r="U201" s="5">
        <f>MAX(ROUND(111*(CY201/L201), 0),1)</f>
        <v>111</v>
      </c>
      <c r="V201" s="5">
        <f>MAX(ROUND(40*(CY201/L201), 0),1)</f>
        <v>40</v>
      </c>
      <c r="W201" s="4"/>
      <c r="X201" s="5">
        <f>MAX(ROUND(10*(CY201/L201), 0),1)</f>
        <v>10</v>
      </c>
      <c r="Y201" s="5">
        <f>MAX(ROUND(17*(CY201/L201), 0),1)</f>
        <v>17</v>
      </c>
      <c r="Z201" s="5">
        <f>MAX(ROUND(18*(CY201/L201), 0),1)</f>
        <v>18</v>
      </c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2">
        <v>479</v>
      </c>
      <c r="CZ201" s="2">
        <f t="shared" si="11"/>
        <v>479</v>
      </c>
      <c r="DA201" s="9">
        <v>15</v>
      </c>
      <c r="DB201" s="9">
        <v>30</v>
      </c>
    </row>
    <row r="202" spans="1:106" ht="60" customHeight="1">
      <c r="A202" s="2" t="s">
        <v>1</v>
      </c>
      <c r="B202" s="2" t="s">
        <v>6</v>
      </c>
      <c r="C202" s="2" t="s">
        <v>7</v>
      </c>
      <c r="D202" s="2"/>
      <c r="E202" s="2" t="s">
        <v>273</v>
      </c>
      <c r="F202" s="2" t="s">
        <v>271</v>
      </c>
      <c r="G202" s="2">
        <v>12</v>
      </c>
      <c r="H202" s="2" t="s">
        <v>7</v>
      </c>
      <c r="I202" s="2" t="s">
        <v>270</v>
      </c>
      <c r="J202" s="2" t="s">
        <v>409</v>
      </c>
      <c r="K202" s="2">
        <v>33679757</v>
      </c>
      <c r="L202" s="3">
        <v>984</v>
      </c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5">
        <f>MAX(ROUND(96*(CY202/L202), 0),1)</f>
        <v>96</v>
      </c>
      <c r="CM202" s="4"/>
      <c r="CN202" s="5">
        <f>MAX(ROUND(190*(CY202/L202), 0),1)</f>
        <v>190</v>
      </c>
      <c r="CO202" s="4"/>
      <c r="CP202" s="5">
        <f>MAX(ROUND(229*(CY202/L202), 0),1)</f>
        <v>229</v>
      </c>
      <c r="CQ202" s="4"/>
      <c r="CR202" s="5">
        <f>MAX(ROUND(248*(CY202/L202), 0),1)</f>
        <v>248</v>
      </c>
      <c r="CS202" s="4"/>
      <c r="CT202" s="4"/>
      <c r="CU202" s="5">
        <f>MAX(ROUND(221*(CY202/L202), 0),1)</f>
        <v>221</v>
      </c>
      <c r="CV202" s="4"/>
      <c r="CW202" s="4"/>
      <c r="CX202" s="4"/>
      <c r="CY202" s="2">
        <v>984</v>
      </c>
      <c r="CZ202" s="2">
        <f t="shared" si="11"/>
        <v>984</v>
      </c>
      <c r="DA202" s="9">
        <v>22.5</v>
      </c>
      <c r="DB202" s="9">
        <v>45</v>
      </c>
    </row>
    <row r="203" spans="1:106" ht="60" customHeight="1">
      <c r="A203" s="2" t="s">
        <v>1</v>
      </c>
      <c r="B203" s="2" t="s">
        <v>2</v>
      </c>
      <c r="C203" s="2" t="s">
        <v>7</v>
      </c>
      <c r="D203" s="2"/>
      <c r="E203" s="2" t="s">
        <v>273</v>
      </c>
      <c r="F203" s="2" t="s">
        <v>271</v>
      </c>
      <c r="G203" s="2">
        <v>12</v>
      </c>
      <c r="H203" s="2" t="s">
        <v>7</v>
      </c>
      <c r="I203" s="2" t="s">
        <v>270</v>
      </c>
      <c r="J203" s="2" t="s">
        <v>409</v>
      </c>
      <c r="K203" s="2">
        <v>33679762</v>
      </c>
      <c r="L203" s="3">
        <v>1201</v>
      </c>
      <c r="M203" s="4"/>
      <c r="N203" s="4"/>
      <c r="O203" s="4"/>
      <c r="P203" s="4"/>
      <c r="Q203" s="4"/>
      <c r="R203" s="4"/>
      <c r="S203" s="5">
        <f>MAX(ROUND(376*(CY203/L203), 0),1)</f>
        <v>376</v>
      </c>
      <c r="T203" s="5">
        <f>MAX(ROUND(382*(CY203/L203), 0),1)</f>
        <v>382</v>
      </c>
      <c r="U203" s="5">
        <f>MAX(ROUND(220*(CY203/L203), 0),1)</f>
        <v>220</v>
      </c>
      <c r="V203" s="5">
        <f>MAX(ROUND(96*(CY203/L203), 0),1)</f>
        <v>96</v>
      </c>
      <c r="W203" s="4"/>
      <c r="X203" s="5">
        <f>MAX(ROUND(38*(CY203/L203), 0),1)</f>
        <v>38</v>
      </c>
      <c r="Y203" s="5">
        <f>MAX(ROUND(42*(CY203/L203), 0),1)</f>
        <v>42</v>
      </c>
      <c r="Z203" s="5">
        <f>MAX(ROUND(47*(CY203/L203), 0),1)</f>
        <v>47</v>
      </c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2">
        <v>1201</v>
      </c>
      <c r="CZ203" s="2">
        <f t="shared" si="11"/>
        <v>1201</v>
      </c>
      <c r="DA203" s="9">
        <v>25</v>
      </c>
      <c r="DB203" s="9">
        <v>50</v>
      </c>
    </row>
    <row r="204" spans="1:106" ht="60" customHeight="1">
      <c r="A204" s="2" t="s">
        <v>1</v>
      </c>
      <c r="B204" s="2" t="s">
        <v>6</v>
      </c>
      <c r="C204" s="2" t="s">
        <v>7</v>
      </c>
      <c r="D204" s="2"/>
      <c r="E204" s="2" t="s">
        <v>274</v>
      </c>
      <c r="F204" s="2" t="s">
        <v>271</v>
      </c>
      <c r="G204" s="2">
        <v>12</v>
      </c>
      <c r="H204" s="2" t="s">
        <v>7</v>
      </c>
      <c r="I204" s="2" t="s">
        <v>270</v>
      </c>
      <c r="J204" s="2" t="s">
        <v>410</v>
      </c>
      <c r="K204" s="2">
        <v>33679794</v>
      </c>
      <c r="L204" s="3">
        <v>1795</v>
      </c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5">
        <f>MAX(ROUND(152*(CY204/L204), 0),1)</f>
        <v>152</v>
      </c>
      <c r="CM204" s="4"/>
      <c r="CN204" s="5">
        <f>MAX(ROUND(358*(CY204/L204), 0),1)</f>
        <v>358</v>
      </c>
      <c r="CO204" s="4"/>
      <c r="CP204" s="5">
        <f>MAX(ROUND(440*(CY204/L204), 0),1)</f>
        <v>440</v>
      </c>
      <c r="CQ204" s="4"/>
      <c r="CR204" s="5">
        <f>MAX(ROUND(454*(CY204/L204), 0),1)</f>
        <v>454</v>
      </c>
      <c r="CS204" s="4"/>
      <c r="CT204" s="4"/>
      <c r="CU204" s="5">
        <f>MAX(ROUND(391*(CY204/L204), 0),1)</f>
        <v>391</v>
      </c>
      <c r="CV204" s="4"/>
      <c r="CW204" s="4"/>
      <c r="CX204" s="4"/>
      <c r="CY204" s="2">
        <v>1795</v>
      </c>
      <c r="CZ204" s="2">
        <f t="shared" si="11"/>
        <v>1795</v>
      </c>
      <c r="DA204" s="9">
        <v>27.5</v>
      </c>
      <c r="DB204" s="9">
        <v>55</v>
      </c>
    </row>
    <row r="205" spans="1:106" ht="60" customHeight="1">
      <c r="A205" s="2" t="s">
        <v>1</v>
      </c>
      <c r="B205" s="2" t="s">
        <v>2</v>
      </c>
      <c r="C205" s="2" t="s">
        <v>7</v>
      </c>
      <c r="D205" s="2"/>
      <c r="E205" s="2" t="s">
        <v>275</v>
      </c>
      <c r="F205" s="2" t="s">
        <v>271</v>
      </c>
      <c r="G205" s="2">
        <v>12</v>
      </c>
      <c r="H205" s="2" t="s">
        <v>7</v>
      </c>
      <c r="I205" s="2" t="s">
        <v>270</v>
      </c>
      <c r="J205" s="2" t="s">
        <v>410</v>
      </c>
      <c r="K205" s="2">
        <v>33679799</v>
      </c>
      <c r="L205" s="3">
        <v>1394</v>
      </c>
      <c r="M205" s="4"/>
      <c r="N205" s="4"/>
      <c r="O205" s="4"/>
      <c r="P205" s="4"/>
      <c r="Q205" s="4"/>
      <c r="R205" s="4"/>
      <c r="S205" s="5">
        <f>MAX(ROUND(462*(CY205/L205), 0),1)</f>
        <v>462</v>
      </c>
      <c r="T205" s="5">
        <f>MAX(ROUND(407*(CY205/L205), 0),1)</f>
        <v>407</v>
      </c>
      <c r="U205" s="5">
        <f>MAX(ROUND(278*(CY205/L205), 0),1)</f>
        <v>278</v>
      </c>
      <c r="V205" s="5">
        <f>MAX(ROUND(100*(CY205/L205), 0),1)</f>
        <v>100</v>
      </c>
      <c r="W205" s="4"/>
      <c r="X205" s="5">
        <f>MAX(ROUND(46*(CY205/L205), 0),1)</f>
        <v>46</v>
      </c>
      <c r="Y205" s="5">
        <f>MAX(ROUND(55*(CY205/L205), 0),1)</f>
        <v>55</v>
      </c>
      <c r="Z205" s="5">
        <f>MAX(ROUND(46*(CY205/L205), 0),1)</f>
        <v>46</v>
      </c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2">
        <v>1394</v>
      </c>
      <c r="CZ205" s="2">
        <f t="shared" si="11"/>
        <v>1394</v>
      </c>
      <c r="DA205" s="9">
        <v>30</v>
      </c>
      <c r="DB205" s="9">
        <v>60</v>
      </c>
    </row>
    <row r="206" spans="1:106" ht="60" customHeight="1">
      <c r="A206" s="2" t="s">
        <v>1</v>
      </c>
      <c r="B206" s="2" t="s">
        <v>2</v>
      </c>
      <c r="C206" s="2" t="s">
        <v>3</v>
      </c>
      <c r="D206" s="2"/>
      <c r="E206" s="2" t="s">
        <v>263</v>
      </c>
      <c r="F206" s="2" t="s">
        <v>276</v>
      </c>
      <c r="G206" s="2">
        <v>214</v>
      </c>
      <c r="H206" s="2" t="s">
        <v>4</v>
      </c>
      <c r="I206" s="2" t="s">
        <v>5</v>
      </c>
      <c r="J206" s="2" t="s">
        <v>404</v>
      </c>
      <c r="K206" s="2">
        <v>33934785</v>
      </c>
      <c r="L206" s="3">
        <v>24</v>
      </c>
      <c r="M206" s="4"/>
      <c r="N206" s="4"/>
      <c r="O206" s="4"/>
      <c r="P206" s="4"/>
      <c r="Q206" s="4"/>
      <c r="R206" s="4"/>
      <c r="S206" s="5"/>
      <c r="T206" s="5"/>
      <c r="U206" s="5"/>
      <c r="V206" s="5"/>
      <c r="W206" s="4"/>
      <c r="X206" s="5"/>
      <c r="Y206" s="5">
        <f>MAX(ROUND(24*(CY206/L206), 0),1)</f>
        <v>24</v>
      </c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2">
        <v>24</v>
      </c>
      <c r="CZ206" s="2">
        <f t="shared" ref="CZ206:CZ224" si="12">SUM(M206:CX206)</f>
        <v>24</v>
      </c>
      <c r="DA206" s="9">
        <v>9.75</v>
      </c>
      <c r="DB206" s="9">
        <v>19.989999999999998</v>
      </c>
    </row>
    <row r="207" spans="1:106" ht="60" customHeight="1">
      <c r="A207" s="2" t="s">
        <v>1</v>
      </c>
      <c r="B207" s="2" t="s">
        <v>6</v>
      </c>
      <c r="C207" s="2" t="s">
        <v>3</v>
      </c>
      <c r="D207" s="2"/>
      <c r="E207" s="2" t="s">
        <v>168</v>
      </c>
      <c r="F207" s="2" t="s">
        <v>12</v>
      </c>
      <c r="G207" s="2">
        <v>8</v>
      </c>
      <c r="H207" s="2" t="s">
        <v>4</v>
      </c>
      <c r="I207" s="2" t="s">
        <v>106</v>
      </c>
      <c r="J207" s="2" t="s">
        <v>409</v>
      </c>
      <c r="K207" s="2">
        <v>34024103</v>
      </c>
      <c r="L207" s="3">
        <v>230</v>
      </c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/>
      <c r="CJ207" s="4"/>
      <c r="CK207" s="4"/>
      <c r="CL207" s="5">
        <f>MAX(ROUND(4*(CY207/L207), 0),1)</f>
        <v>4</v>
      </c>
      <c r="CM207" s="5">
        <f>MAX(ROUND(13*(CY207/L207), 0),1)</f>
        <v>13</v>
      </c>
      <c r="CN207" s="5">
        <f>MAX(ROUND(23*(CY207/L207), 0),1)</f>
        <v>23</v>
      </c>
      <c r="CO207" s="4"/>
      <c r="CP207" s="5">
        <f>MAX(ROUND(31*(CY207/L207), 0),1)</f>
        <v>31</v>
      </c>
      <c r="CQ207" s="4"/>
      <c r="CR207" s="5">
        <f>MAX(ROUND(69*(CY207/L207), 0),1)</f>
        <v>69</v>
      </c>
      <c r="CS207" s="4"/>
      <c r="CT207" s="4"/>
      <c r="CU207" s="5">
        <f>MAX(ROUND(83*(CY207/L207), 0),1)</f>
        <v>83</v>
      </c>
      <c r="CV207" s="5">
        <f>MAX(ROUND(7*(CY207/L207), 0),1)</f>
        <v>7</v>
      </c>
      <c r="CW207" s="4"/>
      <c r="CX207" s="4"/>
      <c r="CY207" s="2">
        <v>230</v>
      </c>
      <c r="CZ207" s="2">
        <f t="shared" si="12"/>
        <v>230</v>
      </c>
      <c r="DA207" s="9">
        <v>19.510000000000002</v>
      </c>
      <c r="DB207" s="9">
        <v>39.99</v>
      </c>
    </row>
    <row r="208" spans="1:106" ht="60" customHeight="1">
      <c r="A208" s="2" t="s">
        <v>1</v>
      </c>
      <c r="B208" s="2" t="s">
        <v>6</v>
      </c>
      <c r="C208" s="2" t="s">
        <v>3</v>
      </c>
      <c r="D208" s="2"/>
      <c r="E208" s="2" t="s">
        <v>277</v>
      </c>
      <c r="F208" s="2" t="s">
        <v>22</v>
      </c>
      <c r="G208" s="2">
        <v>10</v>
      </c>
      <c r="H208" s="2" t="s">
        <v>4</v>
      </c>
      <c r="I208" s="2" t="s">
        <v>106</v>
      </c>
      <c r="J208" s="2" t="s">
        <v>417</v>
      </c>
      <c r="K208" s="2">
        <v>34024113</v>
      </c>
      <c r="L208" s="3">
        <v>74</v>
      </c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4"/>
      <c r="CE208" s="4"/>
      <c r="CF208" s="4"/>
      <c r="CG208" s="4"/>
      <c r="CH208" s="4"/>
      <c r="CI208" s="4"/>
      <c r="CJ208" s="4"/>
      <c r="CK208" s="4"/>
      <c r="CL208" s="5">
        <f>MAX(ROUND(1*(CY208/L208), 0),1)</f>
        <v>1</v>
      </c>
      <c r="CM208" s="5">
        <f>MAX(ROUND(3*(CY208/L208), 0),1)</f>
        <v>3</v>
      </c>
      <c r="CN208" s="5">
        <f>MAX(ROUND(2*(CY208/L208), 0),1)</f>
        <v>2</v>
      </c>
      <c r="CO208" s="4"/>
      <c r="CP208" s="5">
        <f>MAX(ROUND(6*(CY208/L208), 0),1)</f>
        <v>6</v>
      </c>
      <c r="CQ208" s="4"/>
      <c r="CR208" s="5">
        <f>MAX(ROUND(26*(CY208/L208), 0),1)</f>
        <v>26</v>
      </c>
      <c r="CS208" s="4"/>
      <c r="CT208" s="4"/>
      <c r="CU208" s="5">
        <f>MAX(ROUND(30*(CY208/L208), 0),1)</f>
        <v>30</v>
      </c>
      <c r="CV208" s="5">
        <f>MAX(ROUND(6*(CY208/L208), 0),1)</f>
        <v>6</v>
      </c>
      <c r="CW208" s="4"/>
      <c r="CX208" s="4"/>
      <c r="CY208" s="2">
        <v>74</v>
      </c>
      <c r="CZ208" s="2">
        <f t="shared" si="12"/>
        <v>74</v>
      </c>
      <c r="DA208" s="9">
        <v>29.26</v>
      </c>
      <c r="DB208" s="9">
        <v>59.99</v>
      </c>
    </row>
    <row r="209" spans="1:106" ht="60" customHeight="1">
      <c r="A209" s="2" t="s">
        <v>1</v>
      </c>
      <c r="B209" s="2" t="s">
        <v>6</v>
      </c>
      <c r="C209" s="2" t="s">
        <v>3</v>
      </c>
      <c r="D209" s="2"/>
      <c r="E209" s="2" t="s">
        <v>277</v>
      </c>
      <c r="F209" s="2" t="s">
        <v>12</v>
      </c>
      <c r="G209" s="2">
        <v>8</v>
      </c>
      <c r="H209" s="2" t="s">
        <v>4</v>
      </c>
      <c r="I209" s="2" t="s">
        <v>106</v>
      </c>
      <c r="J209" s="2" t="s">
        <v>417</v>
      </c>
      <c r="K209" s="2">
        <v>34024114</v>
      </c>
      <c r="L209" s="3">
        <v>43</v>
      </c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/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/>
      <c r="CE209" s="4"/>
      <c r="CF209" s="4"/>
      <c r="CG209" s="4"/>
      <c r="CH209" s="4"/>
      <c r="CI209" s="4"/>
      <c r="CJ209" s="4"/>
      <c r="CK209" s="4"/>
      <c r="CL209" s="5">
        <f>MAX(ROUND(3*(CY209/L209), 0),1)</f>
        <v>3</v>
      </c>
      <c r="CM209" s="5">
        <f>MAX(ROUND(1*(CY209/L209), 0),1)</f>
        <v>1</v>
      </c>
      <c r="CN209" s="5"/>
      <c r="CO209" s="4"/>
      <c r="CP209" s="5"/>
      <c r="CQ209" s="4"/>
      <c r="CR209" s="5"/>
      <c r="CS209" s="4"/>
      <c r="CT209" s="4"/>
      <c r="CU209" s="5">
        <f>MAX(ROUND(29*(CY209/L209), 0),1)</f>
        <v>29</v>
      </c>
      <c r="CV209" s="5">
        <f>MAX(ROUND(10*(CY209/L209), 0),1)</f>
        <v>10</v>
      </c>
      <c r="CW209" s="4"/>
      <c r="CX209" s="4"/>
      <c r="CY209" s="2">
        <v>43</v>
      </c>
      <c r="CZ209" s="2">
        <f t="shared" si="12"/>
        <v>43</v>
      </c>
      <c r="DA209" s="9">
        <v>29.26</v>
      </c>
      <c r="DB209" s="9">
        <v>59.99</v>
      </c>
    </row>
    <row r="210" spans="1:106" ht="60" customHeight="1">
      <c r="A210" s="2" t="s">
        <v>1</v>
      </c>
      <c r="B210" s="2" t="s">
        <v>6</v>
      </c>
      <c r="C210" s="2" t="s">
        <v>3</v>
      </c>
      <c r="D210" s="2"/>
      <c r="E210" s="2" t="s">
        <v>92</v>
      </c>
      <c r="F210" s="2" t="s">
        <v>280</v>
      </c>
      <c r="G210" s="2">
        <v>103</v>
      </c>
      <c r="H210" s="2" t="s">
        <v>4</v>
      </c>
      <c r="I210" s="2" t="s">
        <v>10</v>
      </c>
      <c r="J210" s="2" t="s">
        <v>414</v>
      </c>
      <c r="K210" s="2">
        <v>34029068</v>
      </c>
      <c r="L210" s="3">
        <v>280</v>
      </c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5"/>
      <c r="CM210" s="5">
        <f>MAX(ROUND(23*(CY210/L210), 0),1)</f>
        <v>23</v>
      </c>
      <c r="CN210" s="5">
        <f>MAX(ROUND(1*(CY210/L210), 0),1)</f>
        <v>1</v>
      </c>
      <c r="CO210" s="4"/>
      <c r="CP210" s="5">
        <f>MAX(ROUND(30*(CY210/L210), 0),1)</f>
        <v>30</v>
      </c>
      <c r="CQ210" s="4"/>
      <c r="CR210" s="5">
        <f>MAX(ROUND(86*(CY210/L210), 0),1)</f>
        <v>86</v>
      </c>
      <c r="CS210" s="4"/>
      <c r="CT210" s="4"/>
      <c r="CU210" s="5">
        <f>MAX(ROUND(107*(CY210/L210), 0),1)</f>
        <v>107</v>
      </c>
      <c r="CV210" s="5">
        <f>MAX(ROUND(33*(CY210/L210), 0),1)</f>
        <v>33</v>
      </c>
      <c r="CW210" s="4"/>
      <c r="CX210" s="4"/>
      <c r="CY210" s="2">
        <v>280</v>
      </c>
      <c r="CZ210" s="2">
        <f t="shared" si="12"/>
        <v>280</v>
      </c>
      <c r="DA210" s="9">
        <v>12.19</v>
      </c>
      <c r="DB210" s="9">
        <v>24.99</v>
      </c>
    </row>
    <row r="211" spans="1:106" ht="60" customHeight="1">
      <c r="A211" s="2" t="s">
        <v>1</v>
      </c>
      <c r="B211" s="2" t="s">
        <v>2</v>
      </c>
      <c r="C211" s="2" t="s">
        <v>3</v>
      </c>
      <c r="D211" s="2"/>
      <c r="E211" s="2" t="s">
        <v>244</v>
      </c>
      <c r="F211" s="2" t="s">
        <v>198</v>
      </c>
      <c r="G211" s="2">
        <v>10</v>
      </c>
      <c r="H211" s="2" t="s">
        <v>4</v>
      </c>
      <c r="I211" s="2" t="s">
        <v>5</v>
      </c>
      <c r="J211" s="2" t="s">
        <v>409</v>
      </c>
      <c r="K211" s="2">
        <v>34054327</v>
      </c>
      <c r="L211" s="3">
        <v>28</v>
      </c>
      <c r="M211" s="4"/>
      <c r="N211" s="4"/>
      <c r="O211" s="4"/>
      <c r="P211" s="4"/>
      <c r="Q211" s="4"/>
      <c r="R211" s="4"/>
      <c r="S211" s="5">
        <f>MAX(ROUND(5*(CY211/L211), 0),1)</f>
        <v>5</v>
      </c>
      <c r="T211" s="5">
        <f>MAX(ROUND(9*(CY211/L211), 0),1)</f>
        <v>9</v>
      </c>
      <c r="U211" s="5">
        <f>MAX(ROUND(1*(CY211/L211), 0),1)</f>
        <v>1</v>
      </c>
      <c r="V211" s="5"/>
      <c r="W211" s="4"/>
      <c r="X211" s="5">
        <f>MAX(ROUND(13*(CY211/L211), 0),1)</f>
        <v>13</v>
      </c>
      <c r="Y211" s="5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  <c r="BM211" s="4"/>
      <c r="BN211" s="4"/>
      <c r="BO211" s="4"/>
      <c r="BP211" s="4"/>
      <c r="BQ211" s="4"/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4"/>
      <c r="CE211" s="4"/>
      <c r="CF211" s="4"/>
      <c r="CG211" s="4"/>
      <c r="CH211" s="4"/>
      <c r="CI211" s="4"/>
      <c r="CJ211" s="4"/>
      <c r="CK211" s="4"/>
      <c r="CL211" s="4"/>
      <c r="CM211" s="4"/>
      <c r="CN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2">
        <v>28</v>
      </c>
      <c r="CZ211" s="2">
        <f t="shared" si="12"/>
        <v>28</v>
      </c>
      <c r="DA211" s="9">
        <v>29.26</v>
      </c>
      <c r="DB211" s="9">
        <v>59.99</v>
      </c>
    </row>
    <row r="212" spans="1:106" ht="60" customHeight="1">
      <c r="A212" s="2" t="s">
        <v>1</v>
      </c>
      <c r="B212" s="2" t="s">
        <v>2</v>
      </c>
      <c r="C212" s="2" t="s">
        <v>3</v>
      </c>
      <c r="D212" s="2"/>
      <c r="E212" s="2" t="s">
        <v>281</v>
      </c>
      <c r="F212" s="2" t="s">
        <v>22</v>
      </c>
      <c r="G212" s="2">
        <v>10</v>
      </c>
      <c r="H212" s="2" t="s">
        <v>4</v>
      </c>
      <c r="I212" s="2" t="s">
        <v>5</v>
      </c>
      <c r="J212" s="2" t="s">
        <v>414</v>
      </c>
      <c r="K212" s="2">
        <v>34054354</v>
      </c>
      <c r="L212" s="3">
        <v>109</v>
      </c>
      <c r="M212" s="4"/>
      <c r="N212" s="4"/>
      <c r="O212" s="4"/>
      <c r="P212" s="4"/>
      <c r="Q212" s="4"/>
      <c r="R212" s="4"/>
      <c r="S212" s="5">
        <f>MAX(ROUND(33*(CY212/L212), 0),1)</f>
        <v>33</v>
      </c>
      <c r="T212" s="5">
        <f>MAX(ROUND(53*(CY212/L212), 0),1)</f>
        <v>53</v>
      </c>
      <c r="U212" s="5">
        <f>MAX(ROUND(19*(CY212/L212), 0),1)</f>
        <v>19</v>
      </c>
      <c r="V212" s="5">
        <f>MAX(ROUND(4*(CY212/L212), 0),1)</f>
        <v>4</v>
      </c>
      <c r="W212" s="4"/>
      <c r="X212" s="5"/>
      <c r="Y212" s="5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  <c r="BM212" s="4"/>
      <c r="BN212" s="4"/>
      <c r="BO212" s="4"/>
      <c r="BP212" s="4"/>
      <c r="BQ212" s="4"/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/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2">
        <v>109</v>
      </c>
      <c r="CZ212" s="2">
        <f t="shared" si="12"/>
        <v>109</v>
      </c>
      <c r="DA212" s="9">
        <v>25.85</v>
      </c>
      <c r="DB212" s="9">
        <v>52.99</v>
      </c>
    </row>
    <row r="213" spans="1:106" ht="60" customHeight="1">
      <c r="A213" s="2" t="s">
        <v>1</v>
      </c>
      <c r="B213" s="2" t="s">
        <v>2</v>
      </c>
      <c r="C213" s="2" t="s">
        <v>84</v>
      </c>
      <c r="D213" s="2"/>
      <c r="E213" s="2" t="s">
        <v>178</v>
      </c>
      <c r="F213" s="2" t="s">
        <v>282</v>
      </c>
      <c r="G213" s="2">
        <v>53</v>
      </c>
      <c r="H213" s="2" t="s">
        <v>4</v>
      </c>
      <c r="I213" s="2" t="s">
        <v>174</v>
      </c>
      <c r="J213" s="2" t="s">
        <v>421</v>
      </c>
      <c r="K213" s="2">
        <v>34061547</v>
      </c>
      <c r="L213" s="3">
        <v>28</v>
      </c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5">
        <f>MAX(ROUND(3*(CY213/L213), 0),1)</f>
        <v>3</v>
      </c>
      <c r="BJ213" s="4"/>
      <c r="BK213" s="5"/>
      <c r="BL213" s="4"/>
      <c r="BM213" s="5">
        <f>MAX(ROUND(6*(CY213/L213), 0),1)</f>
        <v>6</v>
      </c>
      <c r="BN213" s="4"/>
      <c r="BO213" s="5">
        <f>MAX(ROUND(5*(CY213/L213), 0),1)</f>
        <v>5</v>
      </c>
      <c r="BP213" s="5">
        <f>MAX(ROUND(9*(CY213/L213), 0),1)</f>
        <v>9</v>
      </c>
      <c r="BQ213" s="4"/>
      <c r="BR213" s="5">
        <f>MAX(ROUND(4*(CY213/L213), 0),1)</f>
        <v>4</v>
      </c>
      <c r="BS213" s="4"/>
      <c r="BT213" s="5">
        <f>MAX(ROUND(1*(CY213/L213), 0),1)</f>
        <v>1</v>
      </c>
      <c r="BU213" s="4"/>
      <c r="BV213" s="4"/>
      <c r="BW213" s="4"/>
      <c r="BX213" s="4"/>
      <c r="BY213" s="4"/>
      <c r="BZ213" s="4"/>
      <c r="CA213" s="4"/>
      <c r="CB213" s="4"/>
      <c r="CC213" s="4"/>
      <c r="CD213" s="4"/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2">
        <v>28</v>
      </c>
      <c r="CZ213" s="2">
        <f t="shared" si="12"/>
        <v>28</v>
      </c>
      <c r="DA213" s="9">
        <v>25</v>
      </c>
      <c r="DB213" s="9">
        <v>49.99</v>
      </c>
    </row>
    <row r="214" spans="1:106" ht="60" customHeight="1">
      <c r="A214" s="2" t="s">
        <v>1</v>
      </c>
      <c r="B214" s="2" t="s">
        <v>2</v>
      </c>
      <c r="C214" s="2" t="s">
        <v>3</v>
      </c>
      <c r="D214" s="2"/>
      <c r="E214" s="2" t="s">
        <v>283</v>
      </c>
      <c r="F214" s="2" t="s">
        <v>284</v>
      </c>
      <c r="G214" s="2">
        <v>202</v>
      </c>
      <c r="H214" s="2" t="s">
        <v>59</v>
      </c>
      <c r="I214" s="2" t="s">
        <v>59</v>
      </c>
      <c r="J214" s="2" t="s">
        <v>411</v>
      </c>
      <c r="K214" s="2">
        <v>34070013</v>
      </c>
      <c r="L214" s="3">
        <v>13</v>
      </c>
      <c r="M214" s="4"/>
      <c r="N214" s="4"/>
      <c r="O214" s="4"/>
      <c r="P214" s="4"/>
      <c r="Q214" s="4"/>
      <c r="R214" s="5"/>
      <c r="S214" s="5">
        <f>MAX(ROUND(7*(CY214/L214), 0),1)</f>
        <v>7</v>
      </c>
      <c r="T214" s="5">
        <f>MAX(ROUND(6*(CY214/L214), 0),1)</f>
        <v>6</v>
      </c>
      <c r="U214" s="5"/>
      <c r="V214" s="5"/>
      <c r="W214" s="4"/>
      <c r="X214" s="5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  <c r="BM214" s="4"/>
      <c r="BN214" s="4"/>
      <c r="BO214" s="4"/>
      <c r="BP214" s="4"/>
      <c r="BQ214" s="4"/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/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2">
        <v>13</v>
      </c>
      <c r="CZ214" s="2">
        <f t="shared" si="12"/>
        <v>13</v>
      </c>
      <c r="DA214" s="9">
        <v>32</v>
      </c>
      <c r="DB214" s="9">
        <v>80</v>
      </c>
    </row>
    <row r="215" spans="1:106" ht="60" customHeight="1">
      <c r="A215" s="2" t="s">
        <v>1</v>
      </c>
      <c r="B215" s="2" t="s">
        <v>6</v>
      </c>
      <c r="C215" s="2" t="s">
        <v>84</v>
      </c>
      <c r="D215" s="2"/>
      <c r="E215" s="2" t="s">
        <v>285</v>
      </c>
      <c r="F215" s="2" t="s">
        <v>12</v>
      </c>
      <c r="G215" s="2">
        <v>8</v>
      </c>
      <c r="H215" s="2" t="s">
        <v>4</v>
      </c>
      <c r="I215" s="2" t="s">
        <v>141</v>
      </c>
      <c r="J215" s="2" t="s">
        <v>421</v>
      </c>
      <c r="K215" s="2">
        <v>34084668</v>
      </c>
      <c r="L215" s="3">
        <v>29</v>
      </c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5">
        <f>MAX(ROUND(11*(CY215/L215), 0),1)</f>
        <v>11</v>
      </c>
      <c r="BE215" s="5">
        <f>MAX(ROUND(9*(CY215/L215), 0),1)</f>
        <v>9</v>
      </c>
      <c r="BF215" s="5">
        <f>MAX(ROUND(4*(CY215/L215), 0),1)</f>
        <v>4</v>
      </c>
      <c r="BG215" s="4"/>
      <c r="BH215" s="5">
        <f>MAX(ROUND(5*(CY215/L215), 0),1)</f>
        <v>5</v>
      </c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2">
        <v>29</v>
      </c>
      <c r="CZ215" s="2">
        <f t="shared" si="12"/>
        <v>29</v>
      </c>
      <c r="DA215" s="9">
        <v>20</v>
      </c>
      <c r="DB215" s="9">
        <v>39.99</v>
      </c>
    </row>
    <row r="216" spans="1:106" ht="60" customHeight="1">
      <c r="A216" s="2" t="s">
        <v>1</v>
      </c>
      <c r="B216" s="2" t="s">
        <v>6</v>
      </c>
      <c r="C216" s="2" t="s">
        <v>84</v>
      </c>
      <c r="D216" s="2"/>
      <c r="E216" s="2" t="s">
        <v>285</v>
      </c>
      <c r="F216" s="2" t="s">
        <v>183</v>
      </c>
      <c r="G216" s="2">
        <v>81</v>
      </c>
      <c r="H216" s="2" t="s">
        <v>4</v>
      </c>
      <c r="I216" s="2" t="s">
        <v>141</v>
      </c>
      <c r="J216" s="2" t="s">
        <v>421</v>
      </c>
      <c r="K216" s="2">
        <v>34084669</v>
      </c>
      <c r="L216" s="3">
        <v>23</v>
      </c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5">
        <f>MAX(ROUND(9*(CY216/L216), 0),1)</f>
        <v>9</v>
      </c>
      <c r="BE216" s="5">
        <f>MAX(ROUND(7*(CY216/L216), 0),1)</f>
        <v>7</v>
      </c>
      <c r="BF216" s="5">
        <f>MAX(ROUND(4*(CY216/L216), 0),1)</f>
        <v>4</v>
      </c>
      <c r="BG216" s="4"/>
      <c r="BH216" s="5">
        <f>MAX(ROUND(3*(CY216/L216), 0),1)</f>
        <v>3</v>
      </c>
      <c r="BI216" s="4"/>
      <c r="BJ216" s="4"/>
      <c r="BK216" s="4"/>
      <c r="BL216" s="4"/>
      <c r="BM216" s="4"/>
      <c r="BN216" s="4"/>
      <c r="BO216" s="4"/>
      <c r="BP216" s="4"/>
      <c r="BQ216" s="4"/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4"/>
      <c r="CE216" s="4"/>
      <c r="CF216" s="4"/>
      <c r="CG216" s="4"/>
      <c r="CH216" s="4"/>
      <c r="CI216" s="4"/>
      <c r="CJ216" s="4"/>
      <c r="CK216" s="4"/>
      <c r="CL216" s="4"/>
      <c r="CM216" s="4"/>
      <c r="CN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2">
        <v>23</v>
      </c>
      <c r="CZ216" s="2">
        <f t="shared" si="12"/>
        <v>23</v>
      </c>
      <c r="DA216" s="9">
        <v>20</v>
      </c>
      <c r="DB216" s="9">
        <v>39.99</v>
      </c>
    </row>
    <row r="217" spans="1:106" ht="60" customHeight="1">
      <c r="A217" s="2" t="s">
        <v>1</v>
      </c>
      <c r="B217" s="2" t="s">
        <v>109</v>
      </c>
      <c r="C217" s="2" t="s">
        <v>84</v>
      </c>
      <c r="D217" s="2"/>
      <c r="E217" s="2" t="s">
        <v>289</v>
      </c>
      <c r="F217" s="2" t="s">
        <v>290</v>
      </c>
      <c r="G217" s="2">
        <v>103</v>
      </c>
      <c r="H217" s="2" t="s">
        <v>4</v>
      </c>
      <c r="I217" s="2" t="s">
        <v>141</v>
      </c>
      <c r="J217" s="2" t="s">
        <v>421</v>
      </c>
      <c r="K217" s="2">
        <v>34084682</v>
      </c>
      <c r="L217" s="3">
        <v>21</v>
      </c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5"/>
      <c r="AW217" s="5">
        <f>MAX(ROUND(1*(CY217/L217), 0),1)</f>
        <v>1</v>
      </c>
      <c r="AX217" s="5">
        <f>MAX(ROUND(2*(CY217/L217), 0),1)</f>
        <v>2</v>
      </c>
      <c r="AY217" s="5">
        <f>MAX(ROUND(3*(CY217/L217), 0),1)</f>
        <v>3</v>
      </c>
      <c r="AZ217" s="5">
        <f>MAX(ROUND(5*(CY217/L217), 0),1)</f>
        <v>5</v>
      </c>
      <c r="BA217" s="5">
        <f>MAX(ROUND(3*(CY217/L217), 0),1)</f>
        <v>3</v>
      </c>
      <c r="BB217" s="5">
        <f>MAX(ROUND(3*(CY217/L217), 0),1)</f>
        <v>3</v>
      </c>
      <c r="BC217" s="5">
        <f>MAX(ROUND(4*(CY217/L217), 0),1)</f>
        <v>4</v>
      </c>
      <c r="BD217" s="4"/>
      <c r="BE217" s="4"/>
      <c r="BF217" s="4"/>
      <c r="BG217" s="4"/>
      <c r="BH217" s="4"/>
      <c r="BI217" s="4"/>
      <c r="BJ217" s="4"/>
      <c r="BK217" s="4"/>
      <c r="BL217" s="4"/>
      <c r="BM217" s="4"/>
      <c r="BN217" s="4"/>
      <c r="BO217" s="4"/>
      <c r="BP217" s="4"/>
      <c r="BQ217" s="4"/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4"/>
      <c r="CE217" s="4"/>
      <c r="CF217" s="4"/>
      <c r="CG217" s="4"/>
      <c r="CH217" s="4"/>
      <c r="CI217" s="4"/>
      <c r="CJ217" s="4"/>
      <c r="CK217" s="4"/>
      <c r="CL217" s="4"/>
      <c r="CM217" s="4"/>
      <c r="CN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2">
        <v>21</v>
      </c>
      <c r="CZ217" s="2">
        <f t="shared" si="12"/>
        <v>21</v>
      </c>
      <c r="DA217" s="9">
        <v>19</v>
      </c>
      <c r="DB217" s="9">
        <v>37.99</v>
      </c>
    </row>
    <row r="218" spans="1:106" ht="60" customHeight="1">
      <c r="A218" s="2" t="s">
        <v>1</v>
      </c>
      <c r="B218" s="2" t="s">
        <v>109</v>
      </c>
      <c r="C218" s="2" t="s">
        <v>84</v>
      </c>
      <c r="D218" s="2"/>
      <c r="E218" s="2" t="s">
        <v>289</v>
      </c>
      <c r="F218" s="2" t="s">
        <v>291</v>
      </c>
      <c r="G218" s="2">
        <v>84</v>
      </c>
      <c r="H218" s="2" t="s">
        <v>4</v>
      </c>
      <c r="I218" s="2" t="s">
        <v>141</v>
      </c>
      <c r="J218" s="2" t="s">
        <v>421</v>
      </c>
      <c r="K218" s="2">
        <v>34084683</v>
      </c>
      <c r="L218" s="3">
        <v>34</v>
      </c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5"/>
      <c r="AW218" s="5">
        <f>MAX(ROUND(2*(CY218/L218), 0),1)</f>
        <v>2</v>
      </c>
      <c r="AX218" s="5"/>
      <c r="AY218" s="5">
        <f>MAX(ROUND(6*(CY218/L218), 0),1)</f>
        <v>6</v>
      </c>
      <c r="AZ218" s="5">
        <f>MAX(ROUND(10*(CY218/L218), 0),1)</f>
        <v>10</v>
      </c>
      <c r="BA218" s="5">
        <f>MAX(ROUND(9*(CY218/L218), 0),1)</f>
        <v>9</v>
      </c>
      <c r="BB218" s="5">
        <f>MAX(ROUND(4*(CY218/L218), 0),1)</f>
        <v>4</v>
      </c>
      <c r="BC218" s="5">
        <f>MAX(ROUND(3*(CY218/L218), 0),1)</f>
        <v>3</v>
      </c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2">
        <v>34</v>
      </c>
      <c r="CZ218" s="2">
        <f t="shared" si="12"/>
        <v>34</v>
      </c>
      <c r="DA218" s="9">
        <v>19</v>
      </c>
      <c r="DB218" s="9">
        <v>37.99</v>
      </c>
    </row>
    <row r="219" spans="1:106" ht="60" customHeight="1">
      <c r="A219" s="2" t="s">
        <v>1</v>
      </c>
      <c r="B219" s="2" t="s">
        <v>6</v>
      </c>
      <c r="C219" s="2" t="s">
        <v>84</v>
      </c>
      <c r="D219" s="2"/>
      <c r="E219" s="2" t="s">
        <v>292</v>
      </c>
      <c r="F219" s="2" t="s">
        <v>293</v>
      </c>
      <c r="G219" s="2">
        <v>43</v>
      </c>
      <c r="H219" s="2" t="s">
        <v>4</v>
      </c>
      <c r="I219" s="2" t="s">
        <v>141</v>
      </c>
      <c r="J219" s="2" t="s">
        <v>424</v>
      </c>
      <c r="K219" s="2">
        <v>34084704</v>
      </c>
      <c r="L219" s="3">
        <v>17</v>
      </c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5"/>
      <c r="BE219" s="5">
        <f>MAX(ROUND(11*(CY219/L219), 0),1)</f>
        <v>11</v>
      </c>
      <c r="BF219" s="5">
        <f>MAX(ROUND(4*(CY219/L219), 0),1)</f>
        <v>4</v>
      </c>
      <c r="BG219" s="4"/>
      <c r="BH219" s="5">
        <f>MAX(ROUND(2*(CY219/L219), 0),1)</f>
        <v>2</v>
      </c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/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2">
        <v>17</v>
      </c>
      <c r="CZ219" s="2">
        <f t="shared" si="12"/>
        <v>17</v>
      </c>
      <c r="DA219" s="9">
        <v>21.5</v>
      </c>
      <c r="DB219" s="9">
        <v>42.99</v>
      </c>
    </row>
    <row r="220" spans="1:106" ht="60" customHeight="1">
      <c r="A220" s="2" t="s">
        <v>1</v>
      </c>
      <c r="B220" s="2" t="s">
        <v>2</v>
      </c>
      <c r="C220" s="2" t="s">
        <v>3</v>
      </c>
      <c r="D220" s="2"/>
      <c r="E220" s="2" t="s">
        <v>294</v>
      </c>
      <c r="F220" s="2" t="s">
        <v>295</v>
      </c>
      <c r="G220" s="2">
        <v>62</v>
      </c>
      <c r="H220" s="2" t="s">
        <v>59</v>
      </c>
      <c r="I220" s="2" t="s">
        <v>59</v>
      </c>
      <c r="J220" s="2" t="s">
        <v>409</v>
      </c>
      <c r="K220" s="2">
        <v>34084735</v>
      </c>
      <c r="L220" s="3">
        <v>15</v>
      </c>
      <c r="M220" s="4"/>
      <c r="N220" s="4"/>
      <c r="O220" s="4"/>
      <c r="P220" s="4"/>
      <c r="Q220" s="4"/>
      <c r="R220" s="5"/>
      <c r="S220" s="5">
        <f>MAX(ROUND(3*(CY220/L220), 0),1)</f>
        <v>3</v>
      </c>
      <c r="T220" s="5">
        <f>MAX(ROUND(8*(CY220/L220), 0),1)</f>
        <v>8</v>
      </c>
      <c r="U220" s="5">
        <f>MAX(ROUND(4*(CY220/L220), 0),1)</f>
        <v>4</v>
      </c>
      <c r="V220" s="5"/>
      <c r="W220" s="4"/>
      <c r="X220" s="5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2">
        <v>15</v>
      </c>
      <c r="CZ220" s="2">
        <f t="shared" si="12"/>
        <v>15</v>
      </c>
      <c r="DA220" s="9">
        <v>36</v>
      </c>
      <c r="DB220" s="9">
        <v>90</v>
      </c>
    </row>
    <row r="221" spans="1:106" ht="60" customHeight="1">
      <c r="A221" s="2" t="s">
        <v>1</v>
      </c>
      <c r="B221" s="2" t="s">
        <v>2</v>
      </c>
      <c r="C221" s="2" t="s">
        <v>3</v>
      </c>
      <c r="D221" s="2"/>
      <c r="E221" s="2" t="s">
        <v>296</v>
      </c>
      <c r="F221" s="2" t="s">
        <v>12</v>
      </c>
      <c r="G221" s="2">
        <v>8</v>
      </c>
      <c r="H221" s="2" t="s">
        <v>59</v>
      </c>
      <c r="I221" s="2" t="s">
        <v>59</v>
      </c>
      <c r="J221" s="2" t="s">
        <v>414</v>
      </c>
      <c r="K221" s="2">
        <v>34084739</v>
      </c>
      <c r="L221" s="3">
        <v>20</v>
      </c>
      <c r="M221" s="4"/>
      <c r="N221" s="4"/>
      <c r="O221" s="4"/>
      <c r="P221" s="4"/>
      <c r="Q221" s="4"/>
      <c r="R221" s="5"/>
      <c r="S221" s="5">
        <f>MAX(ROUND(7*(CY221/L221), 0),1)</f>
        <v>7</v>
      </c>
      <c r="T221" s="5">
        <f>MAX(ROUND(8*(CY221/L221), 0),1)</f>
        <v>8</v>
      </c>
      <c r="U221" s="5">
        <f>MAX(ROUND(5*(CY221/L221), 0),1)</f>
        <v>5</v>
      </c>
      <c r="V221" s="5"/>
      <c r="W221" s="4"/>
      <c r="X221" s="5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/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2">
        <v>20</v>
      </c>
      <c r="CZ221" s="2">
        <f t="shared" si="12"/>
        <v>20</v>
      </c>
      <c r="DA221" s="9">
        <v>30</v>
      </c>
      <c r="DB221" s="9">
        <v>75</v>
      </c>
    </row>
    <row r="222" spans="1:106" ht="60" customHeight="1">
      <c r="A222" s="2" t="s">
        <v>1</v>
      </c>
      <c r="B222" s="2" t="s">
        <v>2</v>
      </c>
      <c r="C222" s="2" t="s">
        <v>3</v>
      </c>
      <c r="D222" s="2"/>
      <c r="E222" s="2" t="s">
        <v>297</v>
      </c>
      <c r="F222" s="2" t="s">
        <v>12</v>
      </c>
      <c r="G222" s="2">
        <v>8</v>
      </c>
      <c r="H222" s="2" t="s">
        <v>59</v>
      </c>
      <c r="I222" s="2" t="s">
        <v>59</v>
      </c>
      <c r="J222" s="2" t="s">
        <v>411</v>
      </c>
      <c r="K222" s="2">
        <v>34084750</v>
      </c>
      <c r="L222" s="3">
        <v>23</v>
      </c>
      <c r="M222" s="4"/>
      <c r="N222" s="4"/>
      <c r="O222" s="4"/>
      <c r="P222" s="4"/>
      <c r="Q222" s="4"/>
      <c r="R222" s="5"/>
      <c r="S222" s="5">
        <f>MAX(ROUND(2*(CY222/L222), 0),1)</f>
        <v>2</v>
      </c>
      <c r="T222" s="5">
        <f>MAX(ROUND(3*(CY222/L222), 0),1)</f>
        <v>3</v>
      </c>
      <c r="U222" s="5">
        <f>MAX(ROUND(12*(CY222/L222), 0),1)</f>
        <v>12</v>
      </c>
      <c r="V222" s="5">
        <f>MAX(ROUND(6*(CY222/L222), 0),1)</f>
        <v>6</v>
      </c>
      <c r="W222" s="4"/>
      <c r="X222" s="5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/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2">
        <v>23</v>
      </c>
      <c r="CZ222" s="2">
        <f t="shared" si="12"/>
        <v>23</v>
      </c>
      <c r="DA222" s="9">
        <v>48</v>
      </c>
      <c r="DB222" s="9">
        <v>120</v>
      </c>
    </row>
    <row r="223" spans="1:106" ht="60" customHeight="1">
      <c r="A223" s="2" t="s">
        <v>1</v>
      </c>
      <c r="B223" s="2" t="s">
        <v>2</v>
      </c>
      <c r="C223" s="2" t="s">
        <v>126</v>
      </c>
      <c r="D223" s="2"/>
      <c r="E223" s="2" t="s">
        <v>299</v>
      </c>
      <c r="F223" s="2" t="s">
        <v>128</v>
      </c>
      <c r="G223" s="2">
        <v>1</v>
      </c>
      <c r="H223" s="2" t="s">
        <v>82</v>
      </c>
      <c r="I223" s="2" t="s">
        <v>129</v>
      </c>
      <c r="J223" s="2" t="s">
        <v>412</v>
      </c>
      <c r="K223" s="2">
        <v>34327351</v>
      </c>
      <c r="L223" s="3">
        <v>69</v>
      </c>
      <c r="M223" s="4"/>
      <c r="N223" s="4"/>
      <c r="O223" s="4"/>
      <c r="P223" s="4"/>
      <c r="Q223" s="4"/>
      <c r="R223" s="4"/>
      <c r="S223" s="5">
        <f>MAX(ROUND(4*(CY223/L223), 0),1)</f>
        <v>4</v>
      </c>
      <c r="T223" s="5">
        <f>MAX(ROUND(7*(CY223/L223), 0),1)</f>
        <v>7</v>
      </c>
      <c r="U223" s="5">
        <f>MAX(ROUND(7*(CY223/L223), 0),1)</f>
        <v>7</v>
      </c>
      <c r="V223" s="5">
        <f>MAX(ROUND(4*(CY223/L223), 0),1)</f>
        <v>4</v>
      </c>
      <c r="W223" s="4"/>
      <c r="X223" s="5">
        <f>MAX(ROUND(17*(CY223/L223), 0),1)</f>
        <v>17</v>
      </c>
      <c r="Y223" s="5">
        <f>MAX(ROUND(16*(CY223/L223), 0),1)</f>
        <v>16</v>
      </c>
      <c r="Z223" s="5">
        <f>MAX(ROUND(14*(CY223/L223), 0),1)</f>
        <v>14</v>
      </c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/>
      <c r="BO223" s="4"/>
      <c r="BP223" s="4"/>
      <c r="BQ223" s="4"/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2">
        <v>69</v>
      </c>
      <c r="CZ223" s="2">
        <f t="shared" si="12"/>
        <v>69</v>
      </c>
      <c r="DA223" s="9">
        <v>47.5</v>
      </c>
      <c r="DB223" s="9">
        <v>95</v>
      </c>
    </row>
    <row r="224" spans="1:106" ht="60" customHeight="1">
      <c r="A224" s="2" t="s">
        <v>1</v>
      </c>
      <c r="B224" s="2" t="s">
        <v>2</v>
      </c>
      <c r="C224" s="2" t="s">
        <v>81</v>
      </c>
      <c r="D224" s="2"/>
      <c r="E224" s="2" t="s">
        <v>300</v>
      </c>
      <c r="F224" s="2" t="s">
        <v>301</v>
      </c>
      <c r="G224" s="2">
        <v>2</v>
      </c>
      <c r="H224" s="2" t="s">
        <v>82</v>
      </c>
      <c r="I224" s="2" t="s">
        <v>129</v>
      </c>
      <c r="J224" s="2" t="s">
        <v>404</v>
      </c>
      <c r="K224" s="2">
        <v>34327360</v>
      </c>
      <c r="L224" s="3">
        <v>67</v>
      </c>
      <c r="M224" s="4"/>
      <c r="N224" s="4"/>
      <c r="O224" s="4"/>
      <c r="P224" s="4"/>
      <c r="Q224" s="4"/>
      <c r="R224" s="4"/>
      <c r="S224" s="5">
        <f>MAX(ROUND(6*(CY224/L224), 0),1)</f>
        <v>6</v>
      </c>
      <c r="T224" s="5">
        <f>MAX(ROUND(13*(CY224/L224), 0),1)</f>
        <v>13</v>
      </c>
      <c r="U224" s="5">
        <f>MAX(ROUND(19*(CY224/L224), 0),1)</f>
        <v>19</v>
      </c>
      <c r="V224" s="5">
        <f>MAX(ROUND(22*(CY224/L224), 0),1)</f>
        <v>22</v>
      </c>
      <c r="W224" s="4"/>
      <c r="X224" s="5">
        <f>MAX(ROUND(7*(CY224/L224), 0),1)</f>
        <v>7</v>
      </c>
      <c r="Y224" s="5"/>
      <c r="Z224" s="5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2">
        <v>67</v>
      </c>
      <c r="CZ224" s="2">
        <f t="shared" si="12"/>
        <v>67</v>
      </c>
      <c r="DA224" s="9">
        <v>25</v>
      </c>
      <c r="DB224" s="9">
        <v>50</v>
      </c>
    </row>
    <row r="225" spans="1:106" ht="60" customHeight="1">
      <c r="A225" s="2" t="s">
        <v>1</v>
      </c>
      <c r="B225" s="2" t="s">
        <v>6</v>
      </c>
      <c r="C225" s="2" t="s">
        <v>19</v>
      </c>
      <c r="D225" s="2"/>
      <c r="E225" s="2" t="s">
        <v>302</v>
      </c>
      <c r="F225" s="2" t="s">
        <v>303</v>
      </c>
      <c r="G225" s="2">
        <v>81</v>
      </c>
      <c r="H225" s="2" t="s">
        <v>119</v>
      </c>
      <c r="I225" s="2" t="s">
        <v>304</v>
      </c>
      <c r="J225" s="2" t="s">
        <v>423</v>
      </c>
      <c r="K225" s="2">
        <v>35260369</v>
      </c>
      <c r="L225" s="3">
        <v>72</v>
      </c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5"/>
      <c r="AV225" s="5"/>
      <c r="AW225" s="5">
        <f>MAX(ROUND(7*(CY225/L225), 0),1)</f>
        <v>7</v>
      </c>
      <c r="AX225" s="5"/>
      <c r="AY225" s="5"/>
      <c r="AZ225" s="5">
        <f>MAX(ROUND(19*(CY225/L225), 0),1)</f>
        <v>19</v>
      </c>
      <c r="BA225" s="5">
        <f>MAX(ROUND(22*(CY225/L225), 0),1)</f>
        <v>22</v>
      </c>
      <c r="BB225" s="5">
        <f>MAX(ROUND(16*(CY225/L225), 0),1)</f>
        <v>16</v>
      </c>
      <c r="BC225" s="5">
        <f>MAX(ROUND(7*(CY225/L225), 0),1)</f>
        <v>7</v>
      </c>
      <c r="BD225" s="5"/>
      <c r="BE225" s="5">
        <f>MAX(ROUND(1*(CY225/L225), 0),1)</f>
        <v>1</v>
      </c>
      <c r="BF225" s="5"/>
      <c r="BG225" s="5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2">
        <v>72</v>
      </c>
      <c r="CZ225" s="2">
        <f t="shared" ref="CZ225:CZ238" si="13">SUM(M225:CX225)</f>
        <v>72</v>
      </c>
      <c r="DA225" s="9">
        <v>22.5</v>
      </c>
      <c r="DB225" s="9">
        <v>45</v>
      </c>
    </row>
    <row r="226" spans="1:106" ht="60" customHeight="1">
      <c r="A226" s="2" t="s">
        <v>1</v>
      </c>
      <c r="B226" s="2" t="s">
        <v>2</v>
      </c>
      <c r="C226" s="2" t="s">
        <v>84</v>
      </c>
      <c r="D226" s="2"/>
      <c r="E226" s="2" t="s">
        <v>287</v>
      </c>
      <c r="F226" s="2" t="s">
        <v>286</v>
      </c>
      <c r="G226" s="2">
        <v>103</v>
      </c>
      <c r="H226" s="2" t="s">
        <v>4</v>
      </c>
      <c r="I226" s="2" t="s">
        <v>141</v>
      </c>
      <c r="J226" s="2" t="s">
        <v>421</v>
      </c>
      <c r="K226" s="2">
        <v>36617694</v>
      </c>
      <c r="L226" s="3">
        <v>45</v>
      </c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5">
        <f>MAX(ROUND(3*(CY226/L226), 0),1)</f>
        <v>3</v>
      </c>
      <c r="BJ226" s="4"/>
      <c r="BK226" s="5">
        <f>MAX(ROUND(3*(CY226/L226), 0),1)</f>
        <v>3</v>
      </c>
      <c r="BL226" s="4"/>
      <c r="BM226" s="5">
        <f>MAX(ROUND(9*(CY226/L226), 0),1)</f>
        <v>9</v>
      </c>
      <c r="BN226" s="4"/>
      <c r="BO226" s="5">
        <f>MAX(ROUND(9*(CY226/L226), 0),1)</f>
        <v>9</v>
      </c>
      <c r="BP226" s="5">
        <f>MAX(ROUND(9*(CY226/L226), 0),1)</f>
        <v>9</v>
      </c>
      <c r="BQ226" s="4"/>
      <c r="BR226" s="5">
        <f>MAX(ROUND(6*(CY226/L226), 0),1)</f>
        <v>6</v>
      </c>
      <c r="BS226" s="4"/>
      <c r="BT226" s="5">
        <f>MAX(ROUND(3*(CY226/L226), 0),1)</f>
        <v>3</v>
      </c>
      <c r="BU226" s="4"/>
      <c r="BV226" s="5">
        <f>MAX(ROUND(3*(CY226/L226), 0),1)</f>
        <v>3</v>
      </c>
      <c r="BW226" s="4"/>
      <c r="BX226" s="4"/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2">
        <v>45</v>
      </c>
      <c r="CZ226" s="2">
        <f t="shared" si="13"/>
        <v>45</v>
      </c>
      <c r="DA226" s="9">
        <v>22.5</v>
      </c>
      <c r="DB226" s="9">
        <v>44.99</v>
      </c>
    </row>
    <row r="227" spans="1:106" ht="60" customHeight="1">
      <c r="A227" s="2" t="s">
        <v>1</v>
      </c>
      <c r="B227" s="2" t="s">
        <v>2</v>
      </c>
      <c r="C227" s="2" t="s">
        <v>84</v>
      </c>
      <c r="D227" s="2"/>
      <c r="E227" s="2" t="s">
        <v>287</v>
      </c>
      <c r="F227" s="2" t="s">
        <v>12</v>
      </c>
      <c r="G227" s="2">
        <v>8</v>
      </c>
      <c r="H227" s="2" t="s">
        <v>4</v>
      </c>
      <c r="I227" s="2" t="s">
        <v>141</v>
      </c>
      <c r="J227" s="2" t="s">
        <v>421</v>
      </c>
      <c r="K227" s="2">
        <v>36617696</v>
      </c>
      <c r="L227" s="3">
        <v>405</v>
      </c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5">
        <f>MAX(ROUND(27*(CY227/L227), 0),1)</f>
        <v>27</v>
      </c>
      <c r="BJ227" s="4"/>
      <c r="BK227" s="5">
        <f>MAX(ROUND(27*(CY227/L227), 0),1)</f>
        <v>27</v>
      </c>
      <c r="BL227" s="4"/>
      <c r="BM227" s="5">
        <f>MAX(ROUND(81*(CY227/L227), 0),1)</f>
        <v>81</v>
      </c>
      <c r="BN227" s="4"/>
      <c r="BO227" s="5">
        <f>MAX(ROUND(81*(CY227/L227), 0),1)</f>
        <v>81</v>
      </c>
      <c r="BP227" s="5">
        <f>MAX(ROUND(81*(CY227/L227), 0),1)</f>
        <v>81</v>
      </c>
      <c r="BQ227" s="4"/>
      <c r="BR227" s="5">
        <f>MAX(ROUND(54*(CY227/L227), 0),1)</f>
        <v>54</v>
      </c>
      <c r="BS227" s="4"/>
      <c r="BT227" s="5">
        <f>MAX(ROUND(27*(CY227/L227), 0),1)</f>
        <v>27</v>
      </c>
      <c r="BU227" s="4"/>
      <c r="BV227" s="5">
        <f>MAX(ROUND(27*(CY227/L227), 0),1)</f>
        <v>27</v>
      </c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/>
      <c r="CN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2">
        <v>405</v>
      </c>
      <c r="CZ227" s="2">
        <f t="shared" si="13"/>
        <v>405</v>
      </c>
      <c r="DA227" s="9">
        <v>22.5</v>
      </c>
      <c r="DB227" s="9">
        <v>44.99</v>
      </c>
    </row>
    <row r="228" spans="1:106" ht="60" customHeight="1">
      <c r="A228" s="2" t="s">
        <v>1</v>
      </c>
      <c r="B228" s="2" t="s">
        <v>2</v>
      </c>
      <c r="C228" s="2" t="s">
        <v>84</v>
      </c>
      <c r="D228" s="2"/>
      <c r="E228" s="2" t="s">
        <v>288</v>
      </c>
      <c r="F228" s="2" t="s">
        <v>12</v>
      </c>
      <c r="G228" s="2">
        <v>8</v>
      </c>
      <c r="H228" s="2" t="s">
        <v>4</v>
      </c>
      <c r="I228" s="2" t="s">
        <v>141</v>
      </c>
      <c r="J228" s="2" t="s">
        <v>421</v>
      </c>
      <c r="K228" s="2">
        <v>36617699</v>
      </c>
      <c r="L228" s="3">
        <v>120</v>
      </c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5">
        <f>MAX(ROUND(8*(CY228/L228), 0),1)</f>
        <v>8</v>
      </c>
      <c r="BJ228" s="4"/>
      <c r="BK228" s="5">
        <f>MAX(ROUND(8*(CY228/L228), 0),1)</f>
        <v>8</v>
      </c>
      <c r="BL228" s="4"/>
      <c r="BM228" s="5">
        <f>MAX(ROUND(24*(CY228/L228), 0),1)</f>
        <v>24</v>
      </c>
      <c r="BN228" s="4"/>
      <c r="BO228" s="5">
        <f>MAX(ROUND(32*(CY228/L228), 0),1)</f>
        <v>32</v>
      </c>
      <c r="BP228" s="5">
        <f>MAX(ROUND(24*(CY228/L228), 0),1)</f>
        <v>24</v>
      </c>
      <c r="BQ228" s="4"/>
      <c r="BR228" s="5">
        <f>MAX(ROUND(16*(CY228/L228), 0),1)</f>
        <v>16</v>
      </c>
      <c r="BS228" s="4"/>
      <c r="BT228" s="5">
        <f>MAX(ROUND(8*(CY228/L228), 0),1)</f>
        <v>8</v>
      </c>
      <c r="BU228" s="4"/>
      <c r="BV228" s="4"/>
      <c r="BW228" s="4"/>
      <c r="BX228" s="4"/>
      <c r="BY228" s="4"/>
      <c r="BZ228" s="4"/>
      <c r="CA228" s="4"/>
      <c r="CB228" s="4"/>
      <c r="CC228" s="4"/>
      <c r="CD228" s="4"/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2">
        <v>120</v>
      </c>
      <c r="CZ228" s="2">
        <f t="shared" si="13"/>
        <v>120</v>
      </c>
      <c r="DA228" s="9">
        <v>25</v>
      </c>
      <c r="DB228" s="9">
        <v>49.99</v>
      </c>
    </row>
    <row r="229" spans="1:106" ht="60" customHeight="1">
      <c r="A229" s="2" t="s">
        <v>1</v>
      </c>
      <c r="B229" s="2" t="s">
        <v>6</v>
      </c>
      <c r="C229" s="2" t="s">
        <v>3</v>
      </c>
      <c r="D229" s="2"/>
      <c r="E229" s="2" t="s">
        <v>305</v>
      </c>
      <c r="F229" s="2" t="s">
        <v>12</v>
      </c>
      <c r="G229" s="2">
        <v>8</v>
      </c>
      <c r="H229" s="2" t="s">
        <v>4</v>
      </c>
      <c r="I229" s="2" t="s">
        <v>306</v>
      </c>
      <c r="J229" s="2" t="s">
        <v>417</v>
      </c>
      <c r="K229" s="2">
        <v>36774914</v>
      </c>
      <c r="L229" s="3">
        <v>345</v>
      </c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4"/>
      <c r="CE229" s="4"/>
      <c r="CF229" s="4"/>
      <c r="CG229" s="4"/>
      <c r="CH229" s="4"/>
      <c r="CI229" s="4"/>
      <c r="CJ229" s="5">
        <f>MAX(ROUND(23*(CY229/L229), 0),1)</f>
        <v>23</v>
      </c>
      <c r="CK229" s="4"/>
      <c r="CL229" s="5">
        <f>MAX(ROUND(46*(CY229/L229), 0),1)</f>
        <v>46</v>
      </c>
      <c r="CM229" s="4"/>
      <c r="CN229" s="5">
        <f>MAX(ROUND(46*(CY229/L229), 0),1)</f>
        <v>46</v>
      </c>
      <c r="CO229" s="4"/>
      <c r="CP229" s="5">
        <f>MAX(ROUND(92*(CY229/L229), 0),1)</f>
        <v>92</v>
      </c>
      <c r="CQ229" s="4"/>
      <c r="CR229" s="5">
        <f>MAX(ROUND(69*(CY229/L229), 0),1)</f>
        <v>69</v>
      </c>
      <c r="CS229" s="4"/>
      <c r="CT229" s="4"/>
      <c r="CU229" s="5">
        <f>MAX(ROUND(46*(CY229/L229), 0),1)</f>
        <v>46</v>
      </c>
      <c r="CV229" s="5">
        <f>MAX(ROUND(23*(CY229/L229), 0),1)</f>
        <v>23</v>
      </c>
      <c r="CW229" s="4"/>
      <c r="CX229" s="4"/>
      <c r="CY229" s="2">
        <v>345</v>
      </c>
      <c r="CZ229" s="2">
        <f t="shared" si="13"/>
        <v>345</v>
      </c>
      <c r="DA229" s="9">
        <v>15.12</v>
      </c>
      <c r="DB229" s="9">
        <v>30.99</v>
      </c>
    </row>
    <row r="230" spans="1:106" ht="60" customHeight="1">
      <c r="A230" s="2" t="s">
        <v>1</v>
      </c>
      <c r="B230" s="2" t="s">
        <v>6</v>
      </c>
      <c r="C230" s="2" t="s">
        <v>3</v>
      </c>
      <c r="D230" s="2"/>
      <c r="E230" s="2" t="s">
        <v>278</v>
      </c>
      <c r="F230" s="2" t="s">
        <v>22</v>
      </c>
      <c r="G230" s="2">
        <v>10</v>
      </c>
      <c r="H230" s="2" t="s">
        <v>4</v>
      </c>
      <c r="I230" s="2" t="s">
        <v>279</v>
      </c>
      <c r="J230" s="2" t="s">
        <v>417</v>
      </c>
      <c r="K230" s="2">
        <v>36774915</v>
      </c>
      <c r="L230" s="3">
        <v>180</v>
      </c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/>
      <c r="CE230" s="4"/>
      <c r="CF230" s="4"/>
      <c r="CG230" s="4"/>
      <c r="CH230" s="4"/>
      <c r="CI230" s="4"/>
      <c r="CJ230" s="5">
        <f>MAX(ROUND(12*(CY230/L230), 0),1)</f>
        <v>12</v>
      </c>
      <c r="CK230" s="4"/>
      <c r="CL230" s="5">
        <f>MAX(ROUND(12*(CY230/L230), 0),1)</f>
        <v>12</v>
      </c>
      <c r="CM230" s="4"/>
      <c r="CN230" s="5">
        <f>MAX(ROUND(24*(CY230/L230), 0),1)</f>
        <v>24</v>
      </c>
      <c r="CO230" s="4"/>
      <c r="CP230" s="5">
        <f>MAX(ROUND(48*(CY230/L230), 0),1)</f>
        <v>48</v>
      </c>
      <c r="CQ230" s="4"/>
      <c r="CR230" s="5">
        <f>MAX(ROUND(36*(CY230/L230), 0),1)</f>
        <v>36</v>
      </c>
      <c r="CS230" s="4"/>
      <c r="CT230" s="4"/>
      <c r="CU230" s="5">
        <f>MAX(ROUND(24*(CY230/L230), 0),1)</f>
        <v>24</v>
      </c>
      <c r="CV230" s="5">
        <f>MAX(ROUND(24*(CY230/L230), 0),1)</f>
        <v>24</v>
      </c>
      <c r="CW230" s="4"/>
      <c r="CX230" s="4"/>
      <c r="CY230" s="2">
        <v>180</v>
      </c>
      <c r="CZ230" s="2">
        <f t="shared" si="13"/>
        <v>180</v>
      </c>
      <c r="DA230" s="9">
        <v>15.12</v>
      </c>
      <c r="DB230" s="9">
        <v>30.99</v>
      </c>
    </row>
    <row r="231" spans="1:106" ht="60" customHeight="1">
      <c r="A231" s="2" t="s">
        <v>1</v>
      </c>
      <c r="B231" s="2" t="s">
        <v>18</v>
      </c>
      <c r="C231" s="2" t="s">
        <v>19</v>
      </c>
      <c r="D231" s="2"/>
      <c r="E231" s="2" t="s">
        <v>307</v>
      </c>
      <c r="F231" s="2" t="s">
        <v>308</v>
      </c>
      <c r="G231" s="2">
        <v>84</v>
      </c>
      <c r="H231" s="2" t="s">
        <v>119</v>
      </c>
      <c r="I231" s="2" t="s">
        <v>309</v>
      </c>
      <c r="J231" s="2" t="s">
        <v>425</v>
      </c>
      <c r="K231" s="2">
        <v>36887857</v>
      </c>
      <c r="L231" s="3">
        <v>17</v>
      </c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5">
        <f>MAX(ROUND(17*(CY231/L231), 0),1)</f>
        <v>17</v>
      </c>
      <c r="CC231" s="4"/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2">
        <v>17</v>
      </c>
      <c r="CZ231" s="2">
        <f t="shared" si="13"/>
        <v>17</v>
      </c>
      <c r="DA231" s="9">
        <v>7.5</v>
      </c>
      <c r="DB231" s="9">
        <v>15</v>
      </c>
    </row>
    <row r="232" spans="1:106" ht="60" customHeight="1">
      <c r="A232" s="2" t="s">
        <v>1</v>
      </c>
      <c r="B232" s="2" t="s">
        <v>2</v>
      </c>
      <c r="C232" s="2" t="s">
        <v>84</v>
      </c>
      <c r="D232" s="2"/>
      <c r="E232" s="2" t="s">
        <v>178</v>
      </c>
      <c r="F232" s="2" t="s">
        <v>282</v>
      </c>
      <c r="G232" s="2">
        <v>53</v>
      </c>
      <c r="H232" s="2" t="s">
        <v>4</v>
      </c>
      <c r="I232" s="2" t="s">
        <v>174</v>
      </c>
      <c r="J232" s="2" t="s">
        <v>421</v>
      </c>
      <c r="K232" s="2">
        <v>37084588</v>
      </c>
      <c r="L232" s="3">
        <v>645</v>
      </c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5">
        <f>MAX(ROUND(43*(CY232/L232), 0),1)</f>
        <v>43</v>
      </c>
      <c r="BJ232" s="4"/>
      <c r="BK232" s="5">
        <f>MAX(ROUND(43*(CY232/L232), 0),1)</f>
        <v>43</v>
      </c>
      <c r="BL232" s="4"/>
      <c r="BM232" s="5">
        <f>MAX(ROUND(129*(CY232/L232), 0),1)</f>
        <v>129</v>
      </c>
      <c r="BN232" s="4"/>
      <c r="BO232" s="5">
        <f>MAX(ROUND(172*(CY232/L232), 0),1)</f>
        <v>172</v>
      </c>
      <c r="BP232" s="5">
        <f>MAX(ROUND(129*(CY232/L232), 0),1)</f>
        <v>129</v>
      </c>
      <c r="BQ232" s="4"/>
      <c r="BR232" s="5">
        <f>MAX(ROUND(86*(CY232/L232), 0),1)</f>
        <v>86</v>
      </c>
      <c r="BS232" s="4"/>
      <c r="BT232" s="5">
        <f>MAX(ROUND(43*(CY232/L232), 0),1)</f>
        <v>43</v>
      </c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2">
        <v>645</v>
      </c>
      <c r="CZ232" s="2">
        <f t="shared" si="13"/>
        <v>645</v>
      </c>
      <c r="DA232" s="9">
        <v>24.39</v>
      </c>
      <c r="DB232" s="9">
        <v>49.99</v>
      </c>
    </row>
    <row r="233" spans="1:106" ht="60" customHeight="1">
      <c r="A233" s="2" t="s">
        <v>1</v>
      </c>
      <c r="B233" s="2" t="s">
        <v>6</v>
      </c>
      <c r="C233" s="2" t="s">
        <v>84</v>
      </c>
      <c r="D233" s="2"/>
      <c r="E233" s="2" t="s">
        <v>285</v>
      </c>
      <c r="F233" s="2" t="s">
        <v>286</v>
      </c>
      <c r="G233" s="2">
        <v>103</v>
      </c>
      <c r="H233" s="2" t="s">
        <v>4</v>
      </c>
      <c r="I233" s="2" t="s">
        <v>141</v>
      </c>
      <c r="J233" s="2" t="s">
        <v>421</v>
      </c>
      <c r="K233" s="2">
        <v>37100234</v>
      </c>
      <c r="L233" s="3">
        <v>24</v>
      </c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5">
        <f>MAX(ROUND(8*(CY233/L233), 0),1)</f>
        <v>8</v>
      </c>
      <c r="BE233" s="5">
        <f>MAX(ROUND(8*(CY233/L233), 0),1)</f>
        <v>8</v>
      </c>
      <c r="BF233" s="5">
        <f>MAX(ROUND(4*(CY233/L233), 0),1)</f>
        <v>4</v>
      </c>
      <c r="BG233" s="4"/>
      <c r="BH233" s="5">
        <f>MAX(ROUND(4*(CY233/L233), 0),1)</f>
        <v>4</v>
      </c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2">
        <v>24</v>
      </c>
      <c r="CZ233" s="2">
        <f t="shared" si="13"/>
        <v>24</v>
      </c>
      <c r="DA233" s="9">
        <v>19.510000000000002</v>
      </c>
      <c r="DB233" s="9">
        <v>39.99</v>
      </c>
    </row>
    <row r="234" spans="1:106" ht="60" customHeight="1">
      <c r="A234" s="2" t="s">
        <v>1</v>
      </c>
      <c r="B234" s="2" t="s">
        <v>109</v>
      </c>
      <c r="C234" s="2" t="s">
        <v>84</v>
      </c>
      <c r="D234" s="2"/>
      <c r="E234" s="2" t="s">
        <v>289</v>
      </c>
      <c r="F234" s="2" t="s">
        <v>291</v>
      </c>
      <c r="G234" s="2">
        <v>84</v>
      </c>
      <c r="H234" s="2" t="s">
        <v>4</v>
      </c>
      <c r="I234" s="2" t="s">
        <v>141</v>
      </c>
      <c r="J234" s="2" t="s">
        <v>421</v>
      </c>
      <c r="K234" s="2">
        <v>37100257</v>
      </c>
      <c r="L234" s="3">
        <v>105</v>
      </c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5">
        <f>MAX(ROUND(7*(CY234/L234), 0),1)</f>
        <v>7</v>
      </c>
      <c r="AW234" s="5">
        <f>MAX(ROUND(7*(CY234/L234), 0),1)</f>
        <v>7</v>
      </c>
      <c r="AX234" s="5">
        <f>MAX(ROUND(7*(CY234/L234), 0),1)</f>
        <v>7</v>
      </c>
      <c r="AY234" s="5">
        <f>MAX(ROUND(14*(CY234/L234), 0),1)</f>
        <v>14</v>
      </c>
      <c r="AZ234" s="5">
        <f>MAX(ROUND(21*(CY234/L234), 0),1)</f>
        <v>21</v>
      </c>
      <c r="BA234" s="5">
        <f>MAX(ROUND(21*(CY234/L234), 0),1)</f>
        <v>21</v>
      </c>
      <c r="BB234" s="5">
        <f>MAX(ROUND(14*(CY234/L234), 0),1)</f>
        <v>14</v>
      </c>
      <c r="BC234" s="5">
        <f>MAX(ROUND(14*(CY234/L234), 0),1)</f>
        <v>14</v>
      </c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2">
        <v>105</v>
      </c>
      <c r="CZ234" s="2">
        <f t="shared" si="13"/>
        <v>105</v>
      </c>
      <c r="DA234" s="9">
        <v>18.53</v>
      </c>
      <c r="DB234" s="9">
        <v>37.99</v>
      </c>
    </row>
    <row r="235" spans="1:106" ht="60" customHeight="1">
      <c r="A235" s="2" t="s">
        <v>1</v>
      </c>
      <c r="B235" s="2" t="s">
        <v>6</v>
      </c>
      <c r="C235" s="2" t="s">
        <v>84</v>
      </c>
      <c r="D235" s="2"/>
      <c r="E235" s="2" t="s">
        <v>292</v>
      </c>
      <c r="F235" s="2" t="s">
        <v>293</v>
      </c>
      <c r="G235" s="2">
        <v>43</v>
      </c>
      <c r="H235" s="2" t="s">
        <v>4</v>
      </c>
      <c r="I235" s="2" t="s">
        <v>141</v>
      </c>
      <c r="J235" s="2" t="s">
        <v>424</v>
      </c>
      <c r="K235" s="2">
        <v>37100260</v>
      </c>
      <c r="L235" s="3">
        <v>84</v>
      </c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5">
        <f>MAX(ROUND(28*(CY235/L235), 0),1)</f>
        <v>28</v>
      </c>
      <c r="BE235" s="5">
        <f>MAX(ROUND(28*(CY235/L235), 0),1)</f>
        <v>28</v>
      </c>
      <c r="BF235" s="5">
        <f>MAX(ROUND(14*(CY235/L235), 0),1)</f>
        <v>14</v>
      </c>
      <c r="BG235" s="4"/>
      <c r="BH235" s="5">
        <f>MAX(ROUND(14*(CY235/L235), 0),1)</f>
        <v>14</v>
      </c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4"/>
      <c r="CE235" s="4"/>
      <c r="CF235" s="4"/>
      <c r="CG235" s="4"/>
      <c r="CH235" s="4"/>
      <c r="CI235" s="4"/>
      <c r="CJ235" s="4"/>
      <c r="CK235" s="4"/>
      <c r="CL235" s="4"/>
      <c r="CM235" s="4"/>
      <c r="CN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2">
        <v>84</v>
      </c>
      <c r="CZ235" s="2">
        <f t="shared" si="13"/>
        <v>84</v>
      </c>
      <c r="DA235" s="9">
        <v>20.97</v>
      </c>
      <c r="DB235" s="9">
        <v>42.99</v>
      </c>
    </row>
    <row r="236" spans="1:106" ht="60" customHeight="1">
      <c r="A236" s="2" t="s">
        <v>1</v>
      </c>
      <c r="B236" s="2" t="s">
        <v>2</v>
      </c>
      <c r="C236" s="2" t="s">
        <v>81</v>
      </c>
      <c r="D236" s="2"/>
      <c r="E236" s="2" t="s">
        <v>311</v>
      </c>
      <c r="F236" s="2" t="s">
        <v>22</v>
      </c>
      <c r="G236" s="2">
        <v>10</v>
      </c>
      <c r="H236" s="2" t="s">
        <v>82</v>
      </c>
      <c r="I236" s="2" t="s">
        <v>310</v>
      </c>
      <c r="J236" s="2" t="s">
        <v>426</v>
      </c>
      <c r="K236" s="2">
        <v>37285495</v>
      </c>
      <c r="L236" s="3">
        <v>170</v>
      </c>
      <c r="M236" s="4"/>
      <c r="N236" s="4"/>
      <c r="O236" s="4"/>
      <c r="P236" s="4"/>
      <c r="Q236" s="4"/>
      <c r="R236" s="5"/>
      <c r="S236" s="5">
        <f>MAX(ROUND(19*(CY236/L236), 0),1)</f>
        <v>19</v>
      </c>
      <c r="T236" s="5">
        <f>MAX(ROUND(37*(CY236/L236), 0),1)</f>
        <v>37</v>
      </c>
      <c r="U236" s="5">
        <f>MAX(ROUND(38*(CY236/L236), 0),1)</f>
        <v>38</v>
      </c>
      <c r="V236" s="5">
        <f>MAX(ROUND(39*(CY236/L236), 0),1)</f>
        <v>39</v>
      </c>
      <c r="W236" s="4"/>
      <c r="X236" s="5">
        <f>MAX(ROUND(17*(CY236/L236), 0),1)</f>
        <v>17</v>
      </c>
      <c r="Y236" s="5">
        <f>MAX(ROUND(20*(CY236/L236), 0),1)</f>
        <v>20</v>
      </c>
      <c r="Z236" s="5"/>
      <c r="AA236" s="5"/>
      <c r="AB236" s="5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2">
        <v>170</v>
      </c>
      <c r="CZ236" s="2">
        <f t="shared" si="13"/>
        <v>170</v>
      </c>
      <c r="DA236" s="9">
        <v>37.5</v>
      </c>
      <c r="DB236" s="9">
        <v>75</v>
      </c>
    </row>
    <row r="237" spans="1:106" ht="60" customHeight="1">
      <c r="A237" s="2" t="s">
        <v>1</v>
      </c>
      <c r="B237" s="2" t="s">
        <v>2</v>
      </c>
      <c r="C237" s="2" t="s">
        <v>84</v>
      </c>
      <c r="D237" s="2"/>
      <c r="E237" s="2" t="s">
        <v>298</v>
      </c>
      <c r="F237" s="2" t="s">
        <v>117</v>
      </c>
      <c r="G237" s="2">
        <v>114</v>
      </c>
      <c r="H237" s="2" t="s">
        <v>4</v>
      </c>
      <c r="I237" s="2" t="s">
        <v>175</v>
      </c>
      <c r="J237" s="2" t="s">
        <v>424</v>
      </c>
      <c r="K237" s="2">
        <v>37465096</v>
      </c>
      <c r="L237" s="3">
        <v>135</v>
      </c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5">
        <f>MAX(ROUND(9*(CY237/L237), 0),1)</f>
        <v>9</v>
      </c>
      <c r="BJ237" s="4"/>
      <c r="BK237" s="5">
        <f>MAX(ROUND(9*(CY237/L237), 0),1)</f>
        <v>9</v>
      </c>
      <c r="BL237" s="4"/>
      <c r="BM237" s="5">
        <f>MAX(ROUND(27*(CY237/L237), 0),1)</f>
        <v>27</v>
      </c>
      <c r="BN237" s="4"/>
      <c r="BO237" s="5">
        <f>MAX(ROUND(36*(CY237/L237), 0),1)</f>
        <v>36</v>
      </c>
      <c r="BP237" s="5">
        <f>MAX(ROUND(27*(CY237/L237), 0),1)</f>
        <v>27</v>
      </c>
      <c r="BQ237" s="4"/>
      <c r="BR237" s="5">
        <f>MAX(ROUND(18*(CY237/L237), 0),1)</f>
        <v>18</v>
      </c>
      <c r="BS237" s="4"/>
      <c r="BT237" s="5">
        <f>MAX(ROUND(9*(CY237/L237), 0),1)</f>
        <v>9</v>
      </c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2">
        <v>135</v>
      </c>
      <c r="CZ237" s="2">
        <f t="shared" si="13"/>
        <v>135</v>
      </c>
      <c r="DA237" s="9">
        <v>34.14</v>
      </c>
      <c r="DB237" s="9">
        <v>69.989999999999995</v>
      </c>
    </row>
    <row r="238" spans="1:106" ht="60" customHeight="1">
      <c r="A238" s="2" t="s">
        <v>1</v>
      </c>
      <c r="B238" s="2" t="s">
        <v>109</v>
      </c>
      <c r="C238" s="2" t="s">
        <v>84</v>
      </c>
      <c r="D238" s="2"/>
      <c r="E238" s="2" t="s">
        <v>313</v>
      </c>
      <c r="F238" s="2" t="s">
        <v>314</v>
      </c>
      <c r="G238" s="2">
        <v>34</v>
      </c>
      <c r="H238" s="2" t="s">
        <v>4</v>
      </c>
      <c r="I238" s="2" t="s">
        <v>141</v>
      </c>
      <c r="J238" s="2" t="s">
        <v>421</v>
      </c>
      <c r="K238" s="2">
        <v>38056576</v>
      </c>
      <c r="L238" s="3">
        <v>89</v>
      </c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5">
        <f>MAX(ROUND(5*(CY238/L238), 0),1)</f>
        <v>5</v>
      </c>
      <c r="AW238" s="5">
        <f>MAX(ROUND(5*(CY238/L238), 0),1)</f>
        <v>5</v>
      </c>
      <c r="AX238" s="5"/>
      <c r="AY238" s="5">
        <f>MAX(ROUND(14*(CY238/L238), 0),1)</f>
        <v>14</v>
      </c>
      <c r="AZ238" s="5">
        <f>MAX(ROUND(23*(CY238/L238), 0),1)</f>
        <v>23</v>
      </c>
      <c r="BA238" s="5">
        <f>MAX(ROUND(20*(CY238/L238), 0),1)</f>
        <v>20</v>
      </c>
      <c r="BB238" s="5">
        <f>MAX(ROUND(10*(CY238/L238), 0),1)</f>
        <v>10</v>
      </c>
      <c r="BC238" s="5">
        <f>MAX(ROUND(12*(CY238/L238), 0),1)</f>
        <v>12</v>
      </c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/>
      <c r="CJ238" s="4"/>
      <c r="CK238" s="4"/>
      <c r="CL238" s="4"/>
      <c r="CM238" s="4"/>
      <c r="CN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2">
        <v>89</v>
      </c>
      <c r="CZ238" s="2">
        <f t="shared" si="13"/>
        <v>89</v>
      </c>
      <c r="DA238" s="9">
        <v>19.02</v>
      </c>
      <c r="DB238" s="9">
        <v>38.99</v>
      </c>
    </row>
    <row r="239" spans="1:106" ht="60" customHeight="1">
      <c r="A239" s="2" t="s">
        <v>1</v>
      </c>
      <c r="B239" s="2" t="s">
        <v>114</v>
      </c>
      <c r="C239" s="2" t="s">
        <v>84</v>
      </c>
      <c r="D239" s="2"/>
      <c r="E239" s="2" t="s">
        <v>317</v>
      </c>
      <c r="F239" s="2" t="s">
        <v>318</v>
      </c>
      <c r="G239" s="2">
        <v>173</v>
      </c>
      <c r="H239" s="2" t="s">
        <v>4</v>
      </c>
      <c r="I239" s="2" t="s">
        <v>140</v>
      </c>
      <c r="J239" s="2" t="s">
        <v>427</v>
      </c>
      <c r="K239" s="2">
        <v>38056619</v>
      </c>
      <c r="L239" s="3">
        <v>18</v>
      </c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5">
        <f>MAX(ROUND(3*(CY239/L239), 0),1)</f>
        <v>3</v>
      </c>
      <c r="AR239" s="5">
        <f>MAX(ROUND(1*(CY239/L239), 0),1)</f>
        <v>1</v>
      </c>
      <c r="AS239" s="5">
        <f>MAX(ROUND(4*(CY239/L239), 0),1)</f>
        <v>4</v>
      </c>
      <c r="AT239" s="5"/>
      <c r="AU239" s="4"/>
      <c r="AV239" s="5">
        <f>MAX(ROUND(1*(CY239/L239), 0),1)</f>
        <v>1</v>
      </c>
      <c r="AW239" s="5">
        <f>MAX(ROUND(1*(CY239/L239), 0),1)</f>
        <v>1</v>
      </c>
      <c r="AX239" s="5">
        <f>MAX(ROUND(3*(CY239/L239), 0),1)</f>
        <v>3</v>
      </c>
      <c r="AY239" s="5">
        <f>MAX(ROUND(5*(CY239/L239), 0),1)</f>
        <v>5</v>
      </c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2">
        <v>18</v>
      </c>
      <c r="CZ239" s="2">
        <f t="shared" ref="CZ239:CZ259" si="14">SUM(M239:CX239)</f>
        <v>18</v>
      </c>
      <c r="DA239" s="9">
        <v>7.8</v>
      </c>
      <c r="DB239" s="9">
        <v>15.99</v>
      </c>
    </row>
    <row r="240" spans="1:106" ht="60" customHeight="1">
      <c r="A240" s="2" t="s">
        <v>1</v>
      </c>
      <c r="B240" s="2" t="s">
        <v>2</v>
      </c>
      <c r="C240" s="2" t="s">
        <v>3</v>
      </c>
      <c r="D240" s="2"/>
      <c r="E240" s="2" t="s">
        <v>319</v>
      </c>
      <c r="F240" s="2" t="s">
        <v>320</v>
      </c>
      <c r="G240" s="2">
        <v>54</v>
      </c>
      <c r="H240" s="2" t="s">
        <v>4</v>
      </c>
      <c r="I240" s="2" t="s">
        <v>119</v>
      </c>
      <c r="J240" s="2" t="s">
        <v>404</v>
      </c>
      <c r="K240" s="2">
        <v>38056628</v>
      </c>
      <c r="L240" s="3">
        <v>20</v>
      </c>
      <c r="M240" s="4"/>
      <c r="N240" s="4"/>
      <c r="O240" s="4"/>
      <c r="P240" s="4"/>
      <c r="Q240" s="4"/>
      <c r="R240" s="4"/>
      <c r="S240" s="5">
        <f>MAX(ROUND(6*(CY240/L240), 0),1)</f>
        <v>6</v>
      </c>
      <c r="T240" s="5">
        <f>MAX(ROUND(1*(CY240/L240), 0),1)</f>
        <v>1</v>
      </c>
      <c r="U240" s="5">
        <f>MAX(ROUND(3*(CY240/L240), 0),1)</f>
        <v>3</v>
      </c>
      <c r="V240" s="5">
        <f>MAX(ROUND(6*(CY240/L240), 0),1)</f>
        <v>6</v>
      </c>
      <c r="W240" s="4"/>
      <c r="X240" s="5">
        <f>MAX(ROUND(4*(CY240/L240), 0),1)</f>
        <v>4</v>
      </c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2">
        <v>20</v>
      </c>
      <c r="CZ240" s="2">
        <f t="shared" si="14"/>
        <v>20</v>
      </c>
      <c r="DA240" s="9">
        <v>15</v>
      </c>
      <c r="DB240" s="9">
        <v>29.99</v>
      </c>
    </row>
    <row r="241" spans="1:106" ht="60" customHeight="1">
      <c r="A241" s="2" t="s">
        <v>1</v>
      </c>
      <c r="B241" s="2" t="s">
        <v>2</v>
      </c>
      <c r="C241" s="2" t="s">
        <v>3</v>
      </c>
      <c r="D241" s="2"/>
      <c r="E241" s="2" t="s">
        <v>166</v>
      </c>
      <c r="F241" s="2" t="s">
        <v>22</v>
      </c>
      <c r="G241" s="2">
        <v>10</v>
      </c>
      <c r="H241" s="2" t="s">
        <v>4</v>
      </c>
      <c r="I241" s="2" t="s">
        <v>5</v>
      </c>
      <c r="J241" s="2" t="s">
        <v>404</v>
      </c>
      <c r="K241" s="2">
        <v>38056640</v>
      </c>
      <c r="L241" s="3">
        <v>53</v>
      </c>
      <c r="M241" s="4"/>
      <c r="N241" s="4"/>
      <c r="O241" s="4"/>
      <c r="P241" s="4"/>
      <c r="Q241" s="4"/>
      <c r="R241" s="4"/>
      <c r="S241" s="5">
        <f>MAX(ROUND(14*(CY241/L241), 0),1)</f>
        <v>14</v>
      </c>
      <c r="T241" s="5">
        <f>MAX(ROUND(15*(CY241/L241), 0),1)</f>
        <v>15</v>
      </c>
      <c r="U241" s="5">
        <f>MAX(ROUND(3*(CY241/L241), 0),1)</f>
        <v>3</v>
      </c>
      <c r="V241" s="5">
        <f>MAX(ROUND(3*(CY241/L241), 0),1)</f>
        <v>3</v>
      </c>
      <c r="W241" s="4"/>
      <c r="X241" s="5"/>
      <c r="Y241" s="5">
        <f>MAX(ROUND(6*(CY241/L241), 0),1)</f>
        <v>6</v>
      </c>
      <c r="Z241" s="5">
        <f>MAX(ROUND(12*(CY241/L241), 0),1)</f>
        <v>12</v>
      </c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2">
        <v>53</v>
      </c>
      <c r="CZ241" s="2">
        <f t="shared" si="14"/>
        <v>53</v>
      </c>
      <c r="DA241" s="9">
        <v>8.7799999999999994</v>
      </c>
      <c r="DB241" s="9">
        <v>17.989999999999998</v>
      </c>
    </row>
    <row r="242" spans="1:106" ht="60" customHeight="1">
      <c r="A242" s="2" t="s">
        <v>1</v>
      </c>
      <c r="B242" s="2" t="s">
        <v>2</v>
      </c>
      <c r="C242" s="2" t="s">
        <v>3</v>
      </c>
      <c r="D242" s="2"/>
      <c r="E242" s="2" t="s">
        <v>321</v>
      </c>
      <c r="F242" s="2" t="s">
        <v>312</v>
      </c>
      <c r="G242" s="2">
        <v>55</v>
      </c>
      <c r="H242" s="2" t="s">
        <v>4</v>
      </c>
      <c r="I242" s="2" t="s">
        <v>5</v>
      </c>
      <c r="J242" s="2" t="s">
        <v>404</v>
      </c>
      <c r="K242" s="2">
        <v>38056647</v>
      </c>
      <c r="L242" s="3">
        <v>34</v>
      </c>
      <c r="M242" s="4"/>
      <c r="N242" s="4"/>
      <c r="O242" s="4"/>
      <c r="P242" s="4"/>
      <c r="Q242" s="4"/>
      <c r="R242" s="4"/>
      <c r="S242" s="5">
        <f>MAX(ROUND(13*(CY242/L242), 0),1)</f>
        <v>13</v>
      </c>
      <c r="T242" s="5">
        <f>MAX(ROUND(11*(CY242/L242), 0),1)</f>
        <v>11</v>
      </c>
      <c r="U242" s="5">
        <f>MAX(ROUND(1*(CY242/L242), 0),1)</f>
        <v>1</v>
      </c>
      <c r="V242" s="5">
        <f>MAX(ROUND(5*(CY242/L242), 0),1)</f>
        <v>5</v>
      </c>
      <c r="W242" s="4"/>
      <c r="X242" s="5"/>
      <c r="Y242" s="5">
        <f>MAX(ROUND(4*(CY242/L242), 0),1)</f>
        <v>4</v>
      </c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2">
        <v>34</v>
      </c>
      <c r="CZ242" s="2">
        <f t="shared" si="14"/>
        <v>34</v>
      </c>
      <c r="DA242" s="9">
        <v>10.73</v>
      </c>
      <c r="DB242" s="9">
        <v>21.99</v>
      </c>
    </row>
    <row r="243" spans="1:106" ht="60" customHeight="1">
      <c r="A243" s="2" t="s">
        <v>1</v>
      </c>
      <c r="B243" s="2" t="s">
        <v>2</v>
      </c>
      <c r="C243" s="2" t="s">
        <v>3</v>
      </c>
      <c r="D243" s="2"/>
      <c r="E243" s="2" t="s">
        <v>229</v>
      </c>
      <c r="F243" s="2" t="s">
        <v>22</v>
      </c>
      <c r="G243" s="2">
        <v>10</v>
      </c>
      <c r="H243" s="2" t="s">
        <v>4</v>
      </c>
      <c r="I243" s="2" t="s">
        <v>5</v>
      </c>
      <c r="J243" s="2" t="s">
        <v>415</v>
      </c>
      <c r="K243" s="2">
        <v>38080989</v>
      </c>
      <c r="L243" s="3">
        <v>253</v>
      </c>
      <c r="M243" s="4"/>
      <c r="N243" s="4"/>
      <c r="O243" s="4"/>
      <c r="P243" s="4"/>
      <c r="Q243" s="4"/>
      <c r="R243" s="4"/>
      <c r="S243" s="5">
        <f>MAX(ROUND(35*(CY243/L243), 0),1)</f>
        <v>35</v>
      </c>
      <c r="T243" s="5">
        <f>MAX(ROUND(60*(CY243/L243), 0),1)</f>
        <v>60</v>
      </c>
      <c r="U243" s="5">
        <f>MAX(ROUND(53*(CY243/L243), 0),1)</f>
        <v>53</v>
      </c>
      <c r="V243" s="5">
        <f>MAX(ROUND(56*(CY243/L243), 0),1)</f>
        <v>56</v>
      </c>
      <c r="W243" s="4"/>
      <c r="X243" s="5">
        <f>MAX(ROUND(39*(CY243/L243), 0),1)</f>
        <v>39</v>
      </c>
      <c r="Y243" s="5">
        <f>MAX(ROUND(10*(CY243/L243), 0),1)</f>
        <v>10</v>
      </c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2">
        <v>253</v>
      </c>
      <c r="CZ243" s="2">
        <f t="shared" si="14"/>
        <v>253</v>
      </c>
      <c r="DA243" s="9">
        <v>15.6</v>
      </c>
      <c r="DB243" s="9">
        <v>31.99</v>
      </c>
    </row>
    <row r="244" spans="1:106" ht="60" customHeight="1">
      <c r="A244" s="2" t="s">
        <v>1</v>
      </c>
      <c r="B244" s="2" t="s">
        <v>2</v>
      </c>
      <c r="C244" s="2" t="s">
        <v>3</v>
      </c>
      <c r="D244" s="2"/>
      <c r="E244" s="2" t="s">
        <v>229</v>
      </c>
      <c r="F244" s="2" t="s">
        <v>312</v>
      </c>
      <c r="G244" s="2">
        <v>55</v>
      </c>
      <c r="H244" s="2" t="s">
        <v>4</v>
      </c>
      <c r="I244" s="2" t="s">
        <v>5</v>
      </c>
      <c r="J244" s="2" t="s">
        <v>415</v>
      </c>
      <c r="K244" s="2">
        <v>38080990</v>
      </c>
      <c r="L244" s="3">
        <v>486</v>
      </c>
      <c r="M244" s="4"/>
      <c r="N244" s="4"/>
      <c r="O244" s="4"/>
      <c r="P244" s="4"/>
      <c r="Q244" s="4"/>
      <c r="R244" s="4"/>
      <c r="S244" s="5">
        <f>MAX(ROUND(72*(CY244/L244), 0),1)</f>
        <v>72</v>
      </c>
      <c r="T244" s="5">
        <f>MAX(ROUND(122*(CY244/L244), 0),1)</f>
        <v>122</v>
      </c>
      <c r="U244" s="5">
        <f>MAX(ROUND(104*(CY244/L244), 0),1)</f>
        <v>104</v>
      </c>
      <c r="V244" s="5">
        <f>MAX(ROUND(98*(CY244/L244), 0),1)</f>
        <v>98</v>
      </c>
      <c r="W244" s="4"/>
      <c r="X244" s="5">
        <f>MAX(ROUND(65*(CY244/L244), 0),1)</f>
        <v>65</v>
      </c>
      <c r="Y244" s="5">
        <f>MAX(ROUND(25*(CY244/L244), 0),1)</f>
        <v>25</v>
      </c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2">
        <v>486</v>
      </c>
      <c r="CZ244" s="2">
        <f t="shared" si="14"/>
        <v>486</v>
      </c>
      <c r="DA244" s="9">
        <v>15.6</v>
      </c>
      <c r="DB244" s="9">
        <v>31.99</v>
      </c>
    </row>
    <row r="245" spans="1:106" ht="60" customHeight="1">
      <c r="A245" s="2" t="s">
        <v>1</v>
      </c>
      <c r="B245" s="2" t="s">
        <v>2</v>
      </c>
      <c r="C245" s="2" t="s">
        <v>3</v>
      </c>
      <c r="D245" s="2"/>
      <c r="E245" s="2" t="s">
        <v>229</v>
      </c>
      <c r="F245" s="2" t="s">
        <v>12</v>
      </c>
      <c r="G245" s="2">
        <v>8</v>
      </c>
      <c r="H245" s="2" t="s">
        <v>4</v>
      </c>
      <c r="I245" s="2" t="s">
        <v>5</v>
      </c>
      <c r="J245" s="2" t="s">
        <v>415</v>
      </c>
      <c r="K245" s="2">
        <v>38080991</v>
      </c>
      <c r="L245" s="3">
        <v>120</v>
      </c>
      <c r="M245" s="4"/>
      <c r="N245" s="4"/>
      <c r="O245" s="4"/>
      <c r="P245" s="4"/>
      <c r="Q245" s="4"/>
      <c r="R245" s="4"/>
      <c r="S245" s="5">
        <f>MAX(ROUND(23*(CY245/L245), 0),1)</f>
        <v>23</v>
      </c>
      <c r="T245" s="5">
        <f>MAX(ROUND(34*(CY245/L245), 0),1)</f>
        <v>34</v>
      </c>
      <c r="U245" s="5">
        <f>MAX(ROUND(28*(CY245/L245), 0),1)</f>
        <v>28</v>
      </c>
      <c r="V245" s="5">
        <f>MAX(ROUND(17*(CY245/L245), 0),1)</f>
        <v>17</v>
      </c>
      <c r="W245" s="4"/>
      <c r="X245" s="5">
        <f>MAX(ROUND(18*(CY245/L245), 0),1)</f>
        <v>18</v>
      </c>
      <c r="Y245" s="5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2">
        <v>120</v>
      </c>
      <c r="CZ245" s="2">
        <f t="shared" si="14"/>
        <v>120</v>
      </c>
      <c r="DA245" s="9">
        <v>15.6</v>
      </c>
      <c r="DB245" s="9">
        <v>31.99</v>
      </c>
    </row>
    <row r="246" spans="1:106" ht="60" customHeight="1">
      <c r="A246" s="2" t="s">
        <v>1</v>
      </c>
      <c r="B246" s="2" t="s">
        <v>2</v>
      </c>
      <c r="C246" s="2" t="s">
        <v>3</v>
      </c>
      <c r="D246" s="2"/>
      <c r="E246" s="2" t="s">
        <v>322</v>
      </c>
      <c r="F246" s="2" t="s">
        <v>12</v>
      </c>
      <c r="G246" s="2">
        <v>8</v>
      </c>
      <c r="H246" s="2" t="s">
        <v>4</v>
      </c>
      <c r="I246" s="2" t="s">
        <v>5</v>
      </c>
      <c r="J246" s="2" t="s">
        <v>415</v>
      </c>
      <c r="K246" s="2">
        <v>38080994</v>
      </c>
      <c r="L246" s="3">
        <v>49</v>
      </c>
      <c r="M246" s="4"/>
      <c r="N246" s="4"/>
      <c r="O246" s="4"/>
      <c r="P246" s="4"/>
      <c r="Q246" s="4"/>
      <c r="R246" s="4"/>
      <c r="S246" s="5">
        <f>MAX(ROUND(7*(CY246/L246), 0),1)</f>
        <v>7</v>
      </c>
      <c r="T246" s="5">
        <f>MAX(ROUND(15*(CY246/L246), 0),1)</f>
        <v>15</v>
      </c>
      <c r="U246" s="5">
        <f>MAX(ROUND(10*(CY246/L246), 0),1)</f>
        <v>10</v>
      </c>
      <c r="V246" s="5">
        <f>MAX(ROUND(5*(CY246/L246), 0),1)</f>
        <v>5</v>
      </c>
      <c r="W246" s="4"/>
      <c r="X246" s="5">
        <f>MAX(ROUND(12*(CY246/L246), 0),1)</f>
        <v>12</v>
      </c>
      <c r="Y246" s="5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2">
        <v>49</v>
      </c>
      <c r="CZ246" s="2">
        <f t="shared" si="14"/>
        <v>49</v>
      </c>
      <c r="DA246" s="9">
        <v>17.07</v>
      </c>
      <c r="DB246" s="9">
        <v>34.99</v>
      </c>
    </row>
    <row r="247" spans="1:106" ht="60" customHeight="1">
      <c r="A247" s="2" t="s">
        <v>1</v>
      </c>
      <c r="B247" s="2" t="s">
        <v>2</v>
      </c>
      <c r="C247" s="2" t="s">
        <v>3</v>
      </c>
      <c r="D247" s="2"/>
      <c r="E247" s="2" t="s">
        <v>323</v>
      </c>
      <c r="F247" s="2" t="s">
        <v>22</v>
      </c>
      <c r="G247" s="2">
        <v>10</v>
      </c>
      <c r="H247" s="2" t="s">
        <v>4</v>
      </c>
      <c r="I247" s="2" t="s">
        <v>5</v>
      </c>
      <c r="J247" s="2" t="s">
        <v>402</v>
      </c>
      <c r="K247" s="2">
        <v>38081004</v>
      </c>
      <c r="L247" s="3">
        <v>17</v>
      </c>
      <c r="M247" s="4"/>
      <c r="N247" s="4"/>
      <c r="O247" s="4"/>
      <c r="P247" s="4"/>
      <c r="Q247" s="4"/>
      <c r="R247" s="4"/>
      <c r="S247" s="5">
        <f>MAX(ROUND(2*(CY247/L247), 0),1)</f>
        <v>2</v>
      </c>
      <c r="T247" s="5"/>
      <c r="U247" s="5">
        <f>MAX(ROUND(8*(CY247/L247), 0),1)</f>
        <v>8</v>
      </c>
      <c r="V247" s="5">
        <f>MAX(ROUND(2*(CY247/L247), 0),1)</f>
        <v>2</v>
      </c>
      <c r="W247" s="4"/>
      <c r="X247" s="5">
        <f>MAX(ROUND(1*(CY247/L247), 0),1)</f>
        <v>1</v>
      </c>
      <c r="Y247" s="5">
        <f>MAX(ROUND(4*(CY247/L247), 0),1)</f>
        <v>4</v>
      </c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2">
        <v>17</v>
      </c>
      <c r="CZ247" s="2">
        <f t="shared" si="14"/>
        <v>17</v>
      </c>
      <c r="DA247" s="9">
        <v>14.63</v>
      </c>
      <c r="DB247" s="9">
        <v>29.99</v>
      </c>
    </row>
    <row r="248" spans="1:106" ht="60" customHeight="1">
      <c r="A248" s="2" t="s">
        <v>1</v>
      </c>
      <c r="B248" s="2" t="s">
        <v>2</v>
      </c>
      <c r="C248" s="2" t="s">
        <v>3</v>
      </c>
      <c r="D248" s="2"/>
      <c r="E248" s="2" t="s">
        <v>323</v>
      </c>
      <c r="F248" s="2" t="s">
        <v>12</v>
      </c>
      <c r="G248" s="2">
        <v>8</v>
      </c>
      <c r="H248" s="2" t="s">
        <v>4</v>
      </c>
      <c r="I248" s="2" t="s">
        <v>5</v>
      </c>
      <c r="J248" s="2" t="s">
        <v>402</v>
      </c>
      <c r="K248" s="2">
        <v>38081007</v>
      </c>
      <c r="L248" s="3">
        <v>66</v>
      </c>
      <c r="M248" s="4"/>
      <c r="N248" s="4"/>
      <c r="O248" s="4"/>
      <c r="P248" s="4"/>
      <c r="Q248" s="4"/>
      <c r="R248" s="4"/>
      <c r="S248" s="5">
        <f>MAX(ROUND(7*(CY248/L248), 0),1)</f>
        <v>7</v>
      </c>
      <c r="T248" s="5">
        <f>MAX(ROUND(18*(CY248/L248), 0),1)</f>
        <v>18</v>
      </c>
      <c r="U248" s="5">
        <f>MAX(ROUND(18*(CY248/L248), 0),1)</f>
        <v>18</v>
      </c>
      <c r="V248" s="5">
        <f>MAX(ROUND(15*(CY248/L248), 0),1)</f>
        <v>15</v>
      </c>
      <c r="W248" s="4"/>
      <c r="X248" s="5">
        <f>MAX(ROUND(8*(CY248/L248), 0),1)</f>
        <v>8</v>
      </c>
      <c r="Y248" s="5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2">
        <v>66</v>
      </c>
      <c r="CZ248" s="2">
        <f t="shared" si="14"/>
        <v>66</v>
      </c>
      <c r="DA248" s="9">
        <v>14.63</v>
      </c>
      <c r="DB248" s="9">
        <v>29.99</v>
      </c>
    </row>
    <row r="249" spans="1:106" ht="60" customHeight="1">
      <c r="A249" s="2" t="s">
        <v>1</v>
      </c>
      <c r="B249" s="2" t="s">
        <v>2</v>
      </c>
      <c r="C249" s="2" t="s">
        <v>3</v>
      </c>
      <c r="D249" s="2"/>
      <c r="E249" s="2" t="s">
        <v>247</v>
      </c>
      <c r="F249" s="2" t="s">
        <v>22</v>
      </c>
      <c r="G249" s="2">
        <v>10</v>
      </c>
      <c r="H249" s="2" t="s">
        <v>4</v>
      </c>
      <c r="I249" s="2" t="s">
        <v>5</v>
      </c>
      <c r="J249" s="2" t="s">
        <v>414</v>
      </c>
      <c r="K249" s="2">
        <v>38081015</v>
      </c>
      <c r="L249" s="3">
        <v>147</v>
      </c>
      <c r="M249" s="4"/>
      <c r="N249" s="4"/>
      <c r="O249" s="4"/>
      <c r="P249" s="4"/>
      <c r="Q249" s="4"/>
      <c r="R249" s="4"/>
      <c r="S249" s="5">
        <f>MAX(ROUND(22*(CY249/L249), 0),1)</f>
        <v>22</v>
      </c>
      <c r="T249" s="5">
        <f>MAX(ROUND(61*(CY249/L249), 0),1)</f>
        <v>61</v>
      </c>
      <c r="U249" s="5"/>
      <c r="V249" s="5">
        <f>MAX(ROUND(41*(CY249/L249), 0),1)</f>
        <v>41</v>
      </c>
      <c r="W249" s="4"/>
      <c r="X249" s="5">
        <f>MAX(ROUND(18*(CY249/L249), 0),1)</f>
        <v>18</v>
      </c>
      <c r="Y249" s="5">
        <f>MAX(ROUND(5*(CY249/L249), 0),1)</f>
        <v>5</v>
      </c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2">
        <v>147</v>
      </c>
      <c r="CZ249" s="2">
        <f t="shared" si="14"/>
        <v>147</v>
      </c>
      <c r="DA249" s="9">
        <v>19.510000000000002</v>
      </c>
      <c r="DB249" s="9">
        <v>39.99</v>
      </c>
    </row>
    <row r="250" spans="1:106" ht="60" customHeight="1">
      <c r="A250" s="2" t="s">
        <v>1</v>
      </c>
      <c r="B250" s="2" t="s">
        <v>2</v>
      </c>
      <c r="C250" s="2" t="s">
        <v>3</v>
      </c>
      <c r="D250" s="2"/>
      <c r="E250" s="2" t="s">
        <v>247</v>
      </c>
      <c r="F250" s="2" t="s">
        <v>12</v>
      </c>
      <c r="G250" s="2">
        <v>8</v>
      </c>
      <c r="H250" s="2" t="s">
        <v>4</v>
      </c>
      <c r="I250" s="2" t="s">
        <v>5</v>
      </c>
      <c r="J250" s="2" t="s">
        <v>414</v>
      </c>
      <c r="K250" s="2">
        <v>38081017</v>
      </c>
      <c r="L250" s="3">
        <v>106</v>
      </c>
      <c r="M250" s="4"/>
      <c r="N250" s="4"/>
      <c r="O250" s="4"/>
      <c r="P250" s="4"/>
      <c r="Q250" s="4"/>
      <c r="R250" s="4"/>
      <c r="S250" s="5"/>
      <c r="T250" s="5">
        <f>MAX(ROUND(14*(CY250/L250), 0),1)</f>
        <v>14</v>
      </c>
      <c r="U250" s="5">
        <f>MAX(ROUND(37*(CY250/L250), 0),1)</f>
        <v>37</v>
      </c>
      <c r="V250" s="5">
        <f>MAX(ROUND(40*(CY250/L250), 0),1)</f>
        <v>40</v>
      </c>
      <c r="W250" s="4"/>
      <c r="X250" s="5">
        <f>MAX(ROUND(15*(CY250/L250), 0),1)</f>
        <v>15</v>
      </c>
      <c r="Y250" s="5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2">
        <v>106</v>
      </c>
      <c r="CZ250" s="2">
        <f t="shared" si="14"/>
        <v>106</v>
      </c>
      <c r="DA250" s="9">
        <v>19.510000000000002</v>
      </c>
      <c r="DB250" s="9">
        <v>39.99</v>
      </c>
    </row>
    <row r="251" spans="1:106" ht="60" customHeight="1">
      <c r="A251" s="2" t="s">
        <v>1</v>
      </c>
      <c r="B251" s="2" t="s">
        <v>2</v>
      </c>
      <c r="C251" s="2" t="s">
        <v>3</v>
      </c>
      <c r="D251" s="2"/>
      <c r="E251" s="2" t="s">
        <v>244</v>
      </c>
      <c r="F251" s="2" t="s">
        <v>22</v>
      </c>
      <c r="G251" s="2">
        <v>10</v>
      </c>
      <c r="H251" s="2" t="s">
        <v>4</v>
      </c>
      <c r="I251" s="2" t="s">
        <v>5</v>
      </c>
      <c r="J251" s="2" t="s">
        <v>409</v>
      </c>
      <c r="K251" s="2">
        <v>38128971</v>
      </c>
      <c r="L251" s="3">
        <v>180</v>
      </c>
      <c r="M251" s="4"/>
      <c r="N251" s="4"/>
      <c r="O251" s="4"/>
      <c r="P251" s="4"/>
      <c r="Q251" s="4"/>
      <c r="R251" s="4"/>
      <c r="S251" s="5">
        <f>MAX(ROUND(49*(CY251/L251), 0),1)</f>
        <v>49</v>
      </c>
      <c r="T251" s="5">
        <f>MAX(ROUND(48*(CY251/L251), 0),1)</f>
        <v>48</v>
      </c>
      <c r="U251" s="5">
        <f>MAX(ROUND(46*(CY251/L251), 0),1)</f>
        <v>46</v>
      </c>
      <c r="V251" s="5">
        <f>MAX(ROUND(30*(CY251/L251), 0),1)</f>
        <v>30</v>
      </c>
      <c r="W251" s="4"/>
      <c r="X251" s="5"/>
      <c r="Y251" s="5">
        <f>MAX(ROUND(7*(CY251/L251), 0),1)</f>
        <v>7</v>
      </c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2">
        <v>180</v>
      </c>
      <c r="CZ251" s="2">
        <f t="shared" si="14"/>
        <v>180</v>
      </c>
      <c r="DA251" s="9">
        <v>29.26</v>
      </c>
      <c r="DB251" s="9">
        <v>59.99</v>
      </c>
    </row>
    <row r="252" spans="1:106" ht="60" customHeight="1">
      <c r="A252" s="2" t="s">
        <v>1</v>
      </c>
      <c r="B252" s="2" t="s">
        <v>109</v>
      </c>
      <c r="C252" s="2" t="s">
        <v>84</v>
      </c>
      <c r="D252" s="2"/>
      <c r="E252" s="2" t="s">
        <v>139</v>
      </c>
      <c r="F252" s="2" t="s">
        <v>324</v>
      </c>
      <c r="G252" s="2">
        <v>135</v>
      </c>
      <c r="H252" s="2" t="s">
        <v>4</v>
      </c>
      <c r="I252" s="2" t="s">
        <v>140</v>
      </c>
      <c r="J252" s="2" t="s">
        <v>420</v>
      </c>
      <c r="K252" s="2">
        <v>38462570</v>
      </c>
      <c r="L252" s="3">
        <v>29</v>
      </c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5">
        <f>MAX(ROUND(4*(CY252/L252), 0),1)</f>
        <v>4</v>
      </c>
      <c r="AW252" s="5">
        <f>MAX(ROUND(3*(CY252/L252), 0),1)</f>
        <v>3</v>
      </c>
      <c r="AX252" s="5">
        <f>MAX(ROUND(4*(CY252/L252), 0),1)</f>
        <v>4</v>
      </c>
      <c r="AY252" s="5">
        <f>MAX(ROUND(3*(CY252/L252), 0),1)</f>
        <v>3</v>
      </c>
      <c r="AZ252" s="5">
        <f>MAX(ROUND(4*(CY252/L252), 0),1)</f>
        <v>4</v>
      </c>
      <c r="BA252" s="5">
        <f>MAX(ROUND(3*(CY252/L252), 0),1)</f>
        <v>3</v>
      </c>
      <c r="BB252" s="5"/>
      <c r="BC252" s="5">
        <f>MAX(ROUND(8*(CY252/L252), 0),1)</f>
        <v>8</v>
      </c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2">
        <v>29</v>
      </c>
      <c r="CZ252" s="2">
        <f t="shared" si="14"/>
        <v>29</v>
      </c>
      <c r="DA252" s="9">
        <v>9</v>
      </c>
      <c r="DB252" s="9">
        <v>17.989999999999998</v>
      </c>
    </row>
    <row r="253" spans="1:106" ht="60" customHeight="1">
      <c r="A253" s="2" t="s">
        <v>1</v>
      </c>
      <c r="B253" s="2" t="s">
        <v>2</v>
      </c>
      <c r="C253" s="2" t="s">
        <v>3</v>
      </c>
      <c r="D253" s="2"/>
      <c r="E253" s="2" t="s">
        <v>325</v>
      </c>
      <c r="F253" s="2" t="s">
        <v>326</v>
      </c>
      <c r="G253" s="2">
        <v>33</v>
      </c>
      <c r="H253" s="2" t="s">
        <v>59</v>
      </c>
      <c r="I253" s="2" t="s">
        <v>59</v>
      </c>
      <c r="J253" s="2" t="s">
        <v>404</v>
      </c>
      <c r="K253" s="2">
        <v>38535185</v>
      </c>
      <c r="L253" s="3">
        <v>55</v>
      </c>
      <c r="M253" s="4"/>
      <c r="N253" s="4"/>
      <c r="O253" s="4"/>
      <c r="P253" s="4"/>
      <c r="Q253" s="4"/>
      <c r="R253" s="5"/>
      <c r="S253" s="5">
        <f>MAX(ROUND(5*(CY253/L253), 0),1)</f>
        <v>5</v>
      </c>
      <c r="T253" s="5">
        <f>MAX(ROUND(19*(CY253/L253), 0),1)</f>
        <v>19</v>
      </c>
      <c r="U253" s="5">
        <f>MAX(ROUND(20*(CY253/L253), 0),1)</f>
        <v>20</v>
      </c>
      <c r="V253" s="5">
        <f>MAX(ROUND(11*(CY253/L253), 0),1)</f>
        <v>11</v>
      </c>
      <c r="W253" s="4"/>
      <c r="X253" s="5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2">
        <v>55</v>
      </c>
      <c r="CZ253" s="2">
        <f t="shared" si="14"/>
        <v>55</v>
      </c>
      <c r="DA253" s="9">
        <v>22</v>
      </c>
      <c r="DB253" s="9">
        <v>54.99</v>
      </c>
    </row>
    <row r="254" spans="1:106" ht="60" customHeight="1">
      <c r="A254" s="2" t="s">
        <v>1</v>
      </c>
      <c r="B254" s="2" t="s">
        <v>2</v>
      </c>
      <c r="C254" s="2" t="s">
        <v>3</v>
      </c>
      <c r="D254" s="2"/>
      <c r="E254" s="2" t="s">
        <v>327</v>
      </c>
      <c r="F254" s="2" t="s">
        <v>328</v>
      </c>
      <c r="G254" s="2">
        <v>53</v>
      </c>
      <c r="H254" s="2" t="s">
        <v>59</v>
      </c>
      <c r="I254" s="2" t="s">
        <v>59</v>
      </c>
      <c r="J254" s="2" t="s">
        <v>428</v>
      </c>
      <c r="K254" s="2">
        <v>38535187</v>
      </c>
      <c r="L254" s="3">
        <v>34</v>
      </c>
      <c r="M254" s="4"/>
      <c r="N254" s="4"/>
      <c r="O254" s="4"/>
      <c r="P254" s="4"/>
      <c r="Q254" s="4"/>
      <c r="R254" s="5"/>
      <c r="S254" s="5">
        <f>MAX(ROUND(7*(CY254/L254), 0),1)</f>
        <v>7</v>
      </c>
      <c r="T254" s="5">
        <f>MAX(ROUND(10*(CY254/L254), 0),1)</f>
        <v>10</v>
      </c>
      <c r="U254" s="5">
        <f>MAX(ROUND(11*(CY254/L254), 0),1)</f>
        <v>11</v>
      </c>
      <c r="V254" s="5">
        <f>MAX(ROUND(6*(CY254/L254), 0),1)</f>
        <v>6</v>
      </c>
      <c r="W254" s="4"/>
      <c r="X254" s="5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2">
        <v>34</v>
      </c>
      <c r="CZ254" s="2">
        <f t="shared" si="14"/>
        <v>34</v>
      </c>
      <c r="DA254" s="9">
        <v>22</v>
      </c>
      <c r="DB254" s="9">
        <v>54.99</v>
      </c>
    </row>
    <row r="255" spans="1:106" ht="60" customHeight="1">
      <c r="A255" s="2" t="s">
        <v>1</v>
      </c>
      <c r="B255" s="2" t="s">
        <v>2</v>
      </c>
      <c r="C255" s="2" t="s">
        <v>3</v>
      </c>
      <c r="D255" s="2"/>
      <c r="E255" s="2" t="s">
        <v>327</v>
      </c>
      <c r="F255" s="2" t="s">
        <v>329</v>
      </c>
      <c r="G255" s="2">
        <v>63</v>
      </c>
      <c r="H255" s="2" t="s">
        <v>59</v>
      </c>
      <c r="I255" s="2" t="s">
        <v>59</v>
      </c>
      <c r="J255" s="2" t="s">
        <v>428</v>
      </c>
      <c r="K255" s="2">
        <v>38535188</v>
      </c>
      <c r="L255" s="3">
        <v>33</v>
      </c>
      <c r="M255" s="4"/>
      <c r="N255" s="4"/>
      <c r="O255" s="4"/>
      <c r="P255" s="4"/>
      <c r="Q255" s="4"/>
      <c r="R255" s="5"/>
      <c r="S255" s="5">
        <f>MAX(ROUND(7*(CY255/L255), 0),1)</f>
        <v>7</v>
      </c>
      <c r="T255" s="5">
        <f>MAX(ROUND(11*(CY255/L255), 0),1)</f>
        <v>11</v>
      </c>
      <c r="U255" s="5">
        <f>MAX(ROUND(10*(CY255/L255), 0),1)</f>
        <v>10</v>
      </c>
      <c r="V255" s="5">
        <f>MAX(ROUND(5*(CY255/L255), 0),1)</f>
        <v>5</v>
      </c>
      <c r="W255" s="4"/>
      <c r="X255" s="5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2">
        <v>33</v>
      </c>
      <c r="CZ255" s="2">
        <f t="shared" si="14"/>
        <v>33</v>
      </c>
      <c r="DA255" s="9">
        <v>22</v>
      </c>
      <c r="DB255" s="9">
        <v>54.99</v>
      </c>
    </row>
    <row r="256" spans="1:106" ht="60" customHeight="1">
      <c r="A256" s="2" t="s">
        <v>1</v>
      </c>
      <c r="B256" s="2" t="s">
        <v>2</v>
      </c>
      <c r="C256" s="2" t="s">
        <v>3</v>
      </c>
      <c r="D256" s="2"/>
      <c r="E256" s="2" t="s">
        <v>330</v>
      </c>
      <c r="F256" s="2" t="s">
        <v>331</v>
      </c>
      <c r="G256" s="2">
        <v>33</v>
      </c>
      <c r="H256" s="2" t="s">
        <v>59</v>
      </c>
      <c r="I256" s="2" t="s">
        <v>59</v>
      </c>
      <c r="J256" s="2" t="s">
        <v>404</v>
      </c>
      <c r="K256" s="2">
        <v>38535189</v>
      </c>
      <c r="L256" s="3">
        <v>60</v>
      </c>
      <c r="M256" s="4"/>
      <c r="N256" s="4"/>
      <c r="O256" s="4"/>
      <c r="P256" s="4"/>
      <c r="Q256" s="4"/>
      <c r="R256" s="5"/>
      <c r="S256" s="5">
        <f>MAX(ROUND(14*(CY256/L256), 0),1)</f>
        <v>14</v>
      </c>
      <c r="T256" s="5">
        <f>MAX(ROUND(17*(CY256/L256), 0),1)</f>
        <v>17</v>
      </c>
      <c r="U256" s="5">
        <f>MAX(ROUND(19*(CY256/L256), 0),1)</f>
        <v>19</v>
      </c>
      <c r="V256" s="5">
        <f>MAX(ROUND(10*(CY256/L256), 0),1)</f>
        <v>10</v>
      </c>
      <c r="W256" s="4"/>
      <c r="X256" s="5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2">
        <v>60</v>
      </c>
      <c r="CZ256" s="2">
        <f t="shared" si="14"/>
        <v>60</v>
      </c>
      <c r="DA256" s="9">
        <v>14</v>
      </c>
      <c r="DB256" s="9">
        <v>34.99</v>
      </c>
    </row>
    <row r="257" spans="1:106" ht="60" customHeight="1">
      <c r="A257" s="2" t="s">
        <v>1</v>
      </c>
      <c r="B257" s="2" t="s">
        <v>2</v>
      </c>
      <c r="C257" s="2" t="s">
        <v>3</v>
      </c>
      <c r="D257" s="2"/>
      <c r="E257" s="2" t="s">
        <v>330</v>
      </c>
      <c r="F257" s="2" t="s">
        <v>332</v>
      </c>
      <c r="G257" s="2">
        <v>5</v>
      </c>
      <c r="H257" s="2" t="s">
        <v>59</v>
      </c>
      <c r="I257" s="2" t="s">
        <v>59</v>
      </c>
      <c r="J257" s="2" t="s">
        <v>404</v>
      </c>
      <c r="K257" s="2">
        <v>38535190</v>
      </c>
      <c r="L257" s="3">
        <v>50</v>
      </c>
      <c r="M257" s="4"/>
      <c r="N257" s="4"/>
      <c r="O257" s="4"/>
      <c r="P257" s="4"/>
      <c r="Q257" s="4"/>
      <c r="R257" s="5"/>
      <c r="S257" s="5">
        <f>MAX(ROUND(13*(CY257/L257), 0),1)</f>
        <v>13</v>
      </c>
      <c r="T257" s="5">
        <f>MAX(ROUND(16*(CY257/L257), 0),1)</f>
        <v>16</v>
      </c>
      <c r="U257" s="5">
        <f>MAX(ROUND(14*(CY257/L257), 0),1)</f>
        <v>14</v>
      </c>
      <c r="V257" s="5">
        <f>MAX(ROUND(7*(CY257/L257), 0),1)</f>
        <v>7</v>
      </c>
      <c r="W257" s="4"/>
      <c r="X257" s="5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2">
        <v>50</v>
      </c>
      <c r="CZ257" s="2">
        <f t="shared" si="14"/>
        <v>50</v>
      </c>
      <c r="DA257" s="9">
        <v>14</v>
      </c>
      <c r="DB257" s="9">
        <v>34.99</v>
      </c>
    </row>
    <row r="258" spans="1:106" ht="60" customHeight="1">
      <c r="A258" s="2" t="s">
        <v>1</v>
      </c>
      <c r="B258" s="2" t="s">
        <v>2</v>
      </c>
      <c r="C258" s="2" t="s">
        <v>3</v>
      </c>
      <c r="D258" s="2"/>
      <c r="E258" s="2" t="s">
        <v>333</v>
      </c>
      <c r="F258" s="2" t="s">
        <v>334</v>
      </c>
      <c r="G258" s="2">
        <v>52</v>
      </c>
      <c r="H258" s="2" t="s">
        <v>59</v>
      </c>
      <c r="I258" s="2" t="s">
        <v>59</v>
      </c>
      <c r="J258" s="2" t="s">
        <v>404</v>
      </c>
      <c r="K258" s="2">
        <v>38535193</v>
      </c>
      <c r="L258" s="3">
        <v>26</v>
      </c>
      <c r="M258" s="4"/>
      <c r="N258" s="4"/>
      <c r="O258" s="4"/>
      <c r="P258" s="4"/>
      <c r="Q258" s="4"/>
      <c r="R258" s="5"/>
      <c r="S258" s="5">
        <f>MAX(ROUND(6*(CY258/L258), 0),1)</f>
        <v>6</v>
      </c>
      <c r="T258" s="5">
        <f>MAX(ROUND(8*(CY258/L258), 0),1)</f>
        <v>8</v>
      </c>
      <c r="U258" s="5">
        <f>MAX(ROUND(8*(CY258/L258), 0),1)</f>
        <v>8</v>
      </c>
      <c r="V258" s="5">
        <f>MAX(ROUND(4*(CY258/L258), 0),1)</f>
        <v>4</v>
      </c>
      <c r="W258" s="4"/>
      <c r="X258" s="5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2">
        <v>26</v>
      </c>
      <c r="CZ258" s="2">
        <f t="shared" si="14"/>
        <v>26</v>
      </c>
      <c r="DA258" s="9">
        <v>12</v>
      </c>
      <c r="DB258" s="9">
        <v>29.99</v>
      </c>
    </row>
    <row r="259" spans="1:106" ht="60" customHeight="1">
      <c r="A259" s="2" t="s">
        <v>1</v>
      </c>
      <c r="B259" s="2" t="s">
        <v>2</v>
      </c>
      <c r="C259" s="2" t="s">
        <v>3</v>
      </c>
      <c r="D259" s="2"/>
      <c r="E259" s="2" t="s">
        <v>333</v>
      </c>
      <c r="F259" s="2" t="s">
        <v>335</v>
      </c>
      <c r="G259" s="2">
        <v>63</v>
      </c>
      <c r="H259" s="2" t="s">
        <v>59</v>
      </c>
      <c r="I259" s="2" t="s">
        <v>59</v>
      </c>
      <c r="J259" s="2" t="s">
        <v>404</v>
      </c>
      <c r="K259" s="2">
        <v>38535194</v>
      </c>
      <c r="L259" s="3">
        <v>25</v>
      </c>
      <c r="M259" s="4"/>
      <c r="N259" s="4"/>
      <c r="O259" s="4"/>
      <c r="P259" s="4"/>
      <c r="Q259" s="4"/>
      <c r="R259" s="5"/>
      <c r="S259" s="5">
        <f>MAX(ROUND(6*(CY259/L259), 0),1)</f>
        <v>6</v>
      </c>
      <c r="T259" s="5">
        <f>MAX(ROUND(8*(CY259/L259), 0),1)</f>
        <v>8</v>
      </c>
      <c r="U259" s="5">
        <f>MAX(ROUND(8*(CY259/L259), 0),1)</f>
        <v>8</v>
      </c>
      <c r="V259" s="5">
        <f>MAX(ROUND(3*(CY259/L259), 0),1)</f>
        <v>3</v>
      </c>
      <c r="W259" s="4"/>
      <c r="X259" s="5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2">
        <v>25</v>
      </c>
      <c r="CZ259" s="2">
        <f t="shared" si="14"/>
        <v>25</v>
      </c>
      <c r="DA259" s="9">
        <v>12</v>
      </c>
      <c r="DB259" s="9">
        <v>29.99</v>
      </c>
    </row>
    <row r="260" spans="1:106" ht="60" customHeight="1">
      <c r="A260" s="2" t="s">
        <v>1</v>
      </c>
      <c r="B260" s="2" t="s">
        <v>18</v>
      </c>
      <c r="C260" s="2" t="s">
        <v>3</v>
      </c>
      <c r="D260" s="2"/>
      <c r="E260" s="2" t="s">
        <v>336</v>
      </c>
      <c r="F260" s="2" t="s">
        <v>337</v>
      </c>
      <c r="G260" s="2">
        <v>51</v>
      </c>
      <c r="H260" s="2" t="s">
        <v>59</v>
      </c>
      <c r="I260" s="2" t="s">
        <v>59</v>
      </c>
      <c r="J260" s="2" t="s">
        <v>408</v>
      </c>
      <c r="K260" s="2">
        <v>38535199</v>
      </c>
      <c r="L260" s="3">
        <v>40</v>
      </c>
      <c r="M260" s="4"/>
      <c r="N260" s="4"/>
      <c r="O260" s="4"/>
      <c r="P260" s="4"/>
      <c r="Q260" s="4"/>
      <c r="R260" s="4"/>
      <c r="S260" s="4"/>
      <c r="T260" s="5">
        <f>MAX(ROUND(40*(CY260/L260), 0),1)</f>
        <v>40</v>
      </c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2">
        <v>40</v>
      </c>
      <c r="CZ260" s="2">
        <f t="shared" ref="CZ260:CZ285" si="15">SUM(M260:CX260)</f>
        <v>40</v>
      </c>
      <c r="DA260" s="9">
        <v>16</v>
      </c>
      <c r="DB260" s="9">
        <v>39.99</v>
      </c>
    </row>
    <row r="261" spans="1:106" ht="60" customHeight="1">
      <c r="A261" s="2" t="s">
        <v>1</v>
      </c>
      <c r="B261" s="2" t="s">
        <v>18</v>
      </c>
      <c r="C261" s="2" t="s">
        <v>3</v>
      </c>
      <c r="D261" s="2"/>
      <c r="E261" s="2" t="s">
        <v>338</v>
      </c>
      <c r="F261" s="2" t="s">
        <v>337</v>
      </c>
      <c r="G261" s="2">
        <v>51</v>
      </c>
      <c r="H261" s="2" t="s">
        <v>59</v>
      </c>
      <c r="I261" s="2" t="s">
        <v>59</v>
      </c>
      <c r="J261" s="2" t="s">
        <v>429</v>
      </c>
      <c r="K261" s="2">
        <v>38535200</v>
      </c>
      <c r="L261" s="3">
        <v>40</v>
      </c>
      <c r="M261" s="4"/>
      <c r="N261" s="4"/>
      <c r="O261" s="4"/>
      <c r="P261" s="4"/>
      <c r="Q261" s="4"/>
      <c r="R261" s="4"/>
      <c r="S261" s="5">
        <f>MAX(ROUND(40*(CY261/L261), 0),1)</f>
        <v>40</v>
      </c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2">
        <v>40</v>
      </c>
      <c r="CZ261" s="2">
        <f t="shared" si="15"/>
        <v>40</v>
      </c>
      <c r="DA261" s="9">
        <v>12</v>
      </c>
      <c r="DB261" s="9">
        <v>29.99</v>
      </c>
    </row>
    <row r="262" spans="1:106" ht="60" customHeight="1">
      <c r="A262" s="2" t="s">
        <v>1</v>
      </c>
      <c r="B262" s="2" t="s">
        <v>2</v>
      </c>
      <c r="C262" s="2" t="s">
        <v>3</v>
      </c>
      <c r="D262" s="2"/>
      <c r="E262" s="2" t="s">
        <v>339</v>
      </c>
      <c r="F262" s="2" t="s">
        <v>328</v>
      </c>
      <c r="G262" s="2">
        <v>53</v>
      </c>
      <c r="H262" s="2" t="s">
        <v>59</v>
      </c>
      <c r="I262" s="2" t="s">
        <v>59</v>
      </c>
      <c r="J262" s="2" t="s">
        <v>411</v>
      </c>
      <c r="K262" s="2">
        <v>38573001</v>
      </c>
      <c r="L262" s="3">
        <v>41</v>
      </c>
      <c r="M262" s="4"/>
      <c r="N262" s="4"/>
      <c r="O262" s="4"/>
      <c r="P262" s="4"/>
      <c r="Q262" s="4"/>
      <c r="R262" s="5"/>
      <c r="S262" s="5">
        <f>MAX(ROUND(4*(CY262/L262), 0),1)</f>
        <v>4</v>
      </c>
      <c r="T262" s="5">
        <f>MAX(ROUND(12*(CY262/L262), 0),1)</f>
        <v>12</v>
      </c>
      <c r="U262" s="5">
        <f>MAX(ROUND(15*(CY262/L262), 0),1)</f>
        <v>15</v>
      </c>
      <c r="V262" s="5">
        <f>MAX(ROUND(10*(CY262/L262), 0),1)</f>
        <v>10</v>
      </c>
      <c r="W262" s="4"/>
      <c r="X262" s="5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2">
        <v>41</v>
      </c>
      <c r="CZ262" s="2">
        <f t="shared" si="15"/>
        <v>41</v>
      </c>
      <c r="DA262" s="9">
        <v>52</v>
      </c>
      <c r="DB262" s="9">
        <v>129.99</v>
      </c>
    </row>
    <row r="263" spans="1:106" ht="60" customHeight="1">
      <c r="A263" s="2" t="s">
        <v>1</v>
      </c>
      <c r="B263" s="2" t="s">
        <v>2</v>
      </c>
      <c r="C263" s="2" t="s">
        <v>3</v>
      </c>
      <c r="D263" s="2"/>
      <c r="E263" s="2" t="s">
        <v>340</v>
      </c>
      <c r="F263" s="2" t="s">
        <v>328</v>
      </c>
      <c r="G263" s="2">
        <v>53</v>
      </c>
      <c r="H263" s="2" t="s">
        <v>59</v>
      </c>
      <c r="I263" s="2" t="s">
        <v>59</v>
      </c>
      <c r="J263" s="2" t="s">
        <v>406</v>
      </c>
      <c r="K263" s="2">
        <v>38573003</v>
      </c>
      <c r="L263" s="3">
        <v>44</v>
      </c>
      <c r="M263" s="4"/>
      <c r="N263" s="4"/>
      <c r="O263" s="4"/>
      <c r="P263" s="4"/>
      <c r="Q263" s="4"/>
      <c r="R263" s="5"/>
      <c r="S263" s="5">
        <f>MAX(ROUND(4*(CY263/L263), 0),1)</f>
        <v>4</v>
      </c>
      <c r="T263" s="5">
        <f>MAX(ROUND(14*(CY263/L263), 0),1)</f>
        <v>14</v>
      </c>
      <c r="U263" s="5">
        <f>MAX(ROUND(15*(CY263/L263), 0),1)</f>
        <v>15</v>
      </c>
      <c r="V263" s="5">
        <f>MAX(ROUND(11*(CY263/L263), 0),1)</f>
        <v>11</v>
      </c>
      <c r="W263" s="4"/>
      <c r="X263" s="5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2">
        <v>44</v>
      </c>
      <c r="CZ263" s="2">
        <f t="shared" si="15"/>
        <v>44</v>
      </c>
      <c r="DA263" s="9">
        <v>40</v>
      </c>
      <c r="DB263" s="9">
        <v>99.99</v>
      </c>
    </row>
    <row r="264" spans="1:106" ht="60" customHeight="1">
      <c r="A264" s="2" t="s">
        <v>1</v>
      </c>
      <c r="B264" s="2" t="s">
        <v>2</v>
      </c>
      <c r="C264" s="2" t="s">
        <v>3</v>
      </c>
      <c r="D264" s="2"/>
      <c r="E264" s="2" t="s">
        <v>341</v>
      </c>
      <c r="F264" s="2" t="s">
        <v>342</v>
      </c>
      <c r="G264" s="2">
        <v>5</v>
      </c>
      <c r="H264" s="2" t="s">
        <v>59</v>
      </c>
      <c r="I264" s="2" t="s">
        <v>59</v>
      </c>
      <c r="J264" s="2" t="s">
        <v>411</v>
      </c>
      <c r="K264" s="2">
        <v>38573005</v>
      </c>
      <c r="L264" s="3">
        <v>43</v>
      </c>
      <c r="M264" s="4"/>
      <c r="N264" s="4"/>
      <c r="O264" s="4"/>
      <c r="P264" s="4"/>
      <c r="Q264" s="4"/>
      <c r="R264" s="5"/>
      <c r="S264" s="5">
        <f>MAX(ROUND(4*(CY264/L264), 0),1)</f>
        <v>4</v>
      </c>
      <c r="T264" s="5">
        <f>MAX(ROUND(14*(CY264/L264), 0),1)</f>
        <v>14</v>
      </c>
      <c r="U264" s="5">
        <f>MAX(ROUND(15*(CY264/L264), 0),1)</f>
        <v>15</v>
      </c>
      <c r="V264" s="5">
        <f>MAX(ROUND(10*(CY264/L264), 0),1)</f>
        <v>10</v>
      </c>
      <c r="W264" s="4"/>
      <c r="X264" s="5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2">
        <v>43</v>
      </c>
      <c r="CZ264" s="2">
        <f t="shared" si="15"/>
        <v>43</v>
      </c>
      <c r="DA264" s="9">
        <v>36</v>
      </c>
      <c r="DB264" s="9">
        <v>89.99</v>
      </c>
    </row>
    <row r="265" spans="1:106" ht="60" customHeight="1">
      <c r="A265" s="2" t="s">
        <v>1</v>
      </c>
      <c r="B265" s="2" t="s">
        <v>2</v>
      </c>
      <c r="C265" s="2" t="s">
        <v>3</v>
      </c>
      <c r="D265" s="2"/>
      <c r="E265" s="2" t="s">
        <v>343</v>
      </c>
      <c r="F265" s="2" t="s">
        <v>328</v>
      </c>
      <c r="G265" s="2">
        <v>53</v>
      </c>
      <c r="H265" s="2" t="s">
        <v>59</v>
      </c>
      <c r="I265" s="2" t="s">
        <v>59</v>
      </c>
      <c r="J265" s="2" t="s">
        <v>413</v>
      </c>
      <c r="K265" s="2">
        <v>38592280</v>
      </c>
      <c r="L265" s="3">
        <v>74</v>
      </c>
      <c r="M265" s="4"/>
      <c r="N265" s="4"/>
      <c r="O265" s="4"/>
      <c r="P265" s="4"/>
      <c r="Q265" s="4"/>
      <c r="R265" s="5"/>
      <c r="S265" s="5">
        <f>MAX(ROUND(9*(CY265/L265), 0),1)</f>
        <v>9</v>
      </c>
      <c r="T265" s="5">
        <f>MAX(ROUND(24*(CY265/L265), 0),1)</f>
        <v>24</v>
      </c>
      <c r="U265" s="5">
        <f>MAX(ROUND(25*(CY265/L265), 0),1)</f>
        <v>25</v>
      </c>
      <c r="V265" s="5">
        <f>MAX(ROUND(16*(CY265/L265), 0),1)</f>
        <v>16</v>
      </c>
      <c r="W265" s="4"/>
      <c r="X265" s="5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2">
        <v>74</v>
      </c>
      <c r="CZ265" s="2">
        <f t="shared" si="15"/>
        <v>74</v>
      </c>
      <c r="DA265" s="9">
        <v>22</v>
      </c>
      <c r="DB265" s="9">
        <v>54.99</v>
      </c>
    </row>
    <row r="266" spans="1:106" ht="60" customHeight="1">
      <c r="A266" s="2" t="s">
        <v>1</v>
      </c>
      <c r="B266" s="2" t="s">
        <v>2</v>
      </c>
      <c r="C266" s="2" t="s">
        <v>3</v>
      </c>
      <c r="D266" s="2"/>
      <c r="E266" s="2" t="s">
        <v>343</v>
      </c>
      <c r="F266" s="2" t="s">
        <v>344</v>
      </c>
      <c r="G266" s="2">
        <v>63</v>
      </c>
      <c r="H266" s="2" t="s">
        <v>59</v>
      </c>
      <c r="I266" s="2" t="s">
        <v>59</v>
      </c>
      <c r="J266" s="2" t="s">
        <v>413</v>
      </c>
      <c r="K266" s="2">
        <v>38592281</v>
      </c>
      <c r="L266" s="3">
        <v>78</v>
      </c>
      <c r="M266" s="4"/>
      <c r="N266" s="4"/>
      <c r="O266" s="4"/>
      <c r="P266" s="4"/>
      <c r="Q266" s="4"/>
      <c r="R266" s="5"/>
      <c r="S266" s="5">
        <f>MAX(ROUND(10*(CY266/L266), 0),1)</f>
        <v>10</v>
      </c>
      <c r="T266" s="5">
        <f>MAX(ROUND(25*(CY266/L266), 0),1)</f>
        <v>25</v>
      </c>
      <c r="U266" s="5">
        <f>MAX(ROUND(27*(CY266/L266), 0),1)</f>
        <v>27</v>
      </c>
      <c r="V266" s="5">
        <f>MAX(ROUND(16*(CY266/L266), 0),1)</f>
        <v>16</v>
      </c>
      <c r="W266" s="4"/>
      <c r="X266" s="5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/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2">
        <v>78</v>
      </c>
      <c r="CZ266" s="2">
        <f t="shared" si="15"/>
        <v>78</v>
      </c>
      <c r="DA266" s="9">
        <v>22</v>
      </c>
      <c r="DB266" s="9">
        <v>54.99</v>
      </c>
    </row>
    <row r="267" spans="1:106" ht="60" customHeight="1">
      <c r="A267" s="2" t="s">
        <v>1</v>
      </c>
      <c r="B267" s="2" t="s">
        <v>2</v>
      </c>
      <c r="C267" s="2" t="s">
        <v>3</v>
      </c>
      <c r="D267" s="2"/>
      <c r="E267" s="2" t="s">
        <v>345</v>
      </c>
      <c r="F267" s="2" t="s">
        <v>326</v>
      </c>
      <c r="G267" s="2">
        <v>33</v>
      </c>
      <c r="H267" s="2" t="s">
        <v>59</v>
      </c>
      <c r="I267" s="2" t="s">
        <v>59</v>
      </c>
      <c r="J267" s="2" t="s">
        <v>413</v>
      </c>
      <c r="K267" s="2">
        <v>38592290</v>
      </c>
      <c r="L267" s="3">
        <v>16</v>
      </c>
      <c r="M267" s="4"/>
      <c r="N267" s="4"/>
      <c r="O267" s="4"/>
      <c r="P267" s="4"/>
      <c r="Q267" s="4"/>
      <c r="R267" s="5"/>
      <c r="S267" s="5">
        <f>MAX(ROUND(5*(CY267/L267), 0),1)</f>
        <v>5</v>
      </c>
      <c r="T267" s="5"/>
      <c r="U267" s="5">
        <f>MAX(ROUND(6*(CY267/L267), 0),1)</f>
        <v>6</v>
      </c>
      <c r="V267" s="5">
        <f>MAX(ROUND(5*(CY267/L267), 0),1)</f>
        <v>5</v>
      </c>
      <c r="W267" s="4"/>
      <c r="X267" s="5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2">
        <v>16</v>
      </c>
      <c r="CZ267" s="2">
        <f t="shared" si="15"/>
        <v>16</v>
      </c>
      <c r="DA267" s="9">
        <v>16</v>
      </c>
      <c r="DB267" s="9">
        <v>39.99</v>
      </c>
    </row>
    <row r="268" spans="1:106" ht="60" customHeight="1">
      <c r="A268" s="2" t="s">
        <v>1</v>
      </c>
      <c r="B268" s="2" t="s">
        <v>2</v>
      </c>
      <c r="C268" s="2" t="s">
        <v>3</v>
      </c>
      <c r="D268" s="2"/>
      <c r="E268" s="2" t="s">
        <v>345</v>
      </c>
      <c r="F268" s="2" t="s">
        <v>346</v>
      </c>
      <c r="G268" s="2">
        <v>55</v>
      </c>
      <c r="H268" s="2" t="s">
        <v>59</v>
      </c>
      <c r="I268" s="2" t="s">
        <v>59</v>
      </c>
      <c r="J268" s="2" t="s">
        <v>413</v>
      </c>
      <c r="K268" s="2">
        <v>38592291</v>
      </c>
      <c r="L268" s="3">
        <v>72</v>
      </c>
      <c r="M268" s="4"/>
      <c r="N268" s="4"/>
      <c r="O268" s="4"/>
      <c r="P268" s="4"/>
      <c r="Q268" s="4"/>
      <c r="R268" s="5"/>
      <c r="S268" s="5">
        <f>MAX(ROUND(8*(CY268/L268), 0),1)</f>
        <v>8</v>
      </c>
      <c r="T268" s="5">
        <f>MAX(ROUND(23*(CY268/L268), 0),1)</f>
        <v>23</v>
      </c>
      <c r="U268" s="5">
        <f>MAX(ROUND(26*(CY268/L268), 0),1)</f>
        <v>26</v>
      </c>
      <c r="V268" s="5">
        <f>MAX(ROUND(15*(CY268/L268), 0),1)</f>
        <v>15</v>
      </c>
      <c r="W268" s="4"/>
      <c r="X268" s="5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2">
        <v>72</v>
      </c>
      <c r="CZ268" s="2">
        <f t="shared" si="15"/>
        <v>72</v>
      </c>
      <c r="DA268" s="9">
        <v>16</v>
      </c>
      <c r="DB268" s="9">
        <v>39.99</v>
      </c>
    </row>
    <row r="269" spans="1:106" ht="60" customHeight="1">
      <c r="A269" s="2" t="s">
        <v>1</v>
      </c>
      <c r="B269" s="2" t="s">
        <v>2</v>
      </c>
      <c r="C269" s="2" t="s">
        <v>3</v>
      </c>
      <c r="D269" s="2"/>
      <c r="E269" s="2" t="s">
        <v>345</v>
      </c>
      <c r="F269" s="2" t="s">
        <v>347</v>
      </c>
      <c r="G269" s="2">
        <v>61</v>
      </c>
      <c r="H269" s="2" t="s">
        <v>59</v>
      </c>
      <c r="I269" s="2" t="s">
        <v>59</v>
      </c>
      <c r="J269" s="2" t="s">
        <v>413</v>
      </c>
      <c r="K269" s="2">
        <v>38592292</v>
      </c>
      <c r="L269" s="3">
        <v>73</v>
      </c>
      <c r="M269" s="4"/>
      <c r="N269" s="4"/>
      <c r="O269" s="4"/>
      <c r="P269" s="4"/>
      <c r="Q269" s="4"/>
      <c r="R269" s="5"/>
      <c r="S269" s="5">
        <f>MAX(ROUND(9*(CY269/L269), 0),1)</f>
        <v>9</v>
      </c>
      <c r="T269" s="5">
        <f>MAX(ROUND(23*(CY269/L269), 0),1)</f>
        <v>23</v>
      </c>
      <c r="U269" s="5">
        <f>MAX(ROUND(25*(CY269/L269), 0),1)</f>
        <v>25</v>
      </c>
      <c r="V269" s="5">
        <f>MAX(ROUND(16*(CY269/L269), 0),1)</f>
        <v>16</v>
      </c>
      <c r="W269" s="4"/>
      <c r="X269" s="5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2">
        <v>73</v>
      </c>
      <c r="CZ269" s="2">
        <f t="shared" si="15"/>
        <v>73</v>
      </c>
      <c r="DA269" s="9">
        <v>16</v>
      </c>
      <c r="DB269" s="9">
        <v>39.99</v>
      </c>
    </row>
    <row r="270" spans="1:106" ht="60" customHeight="1">
      <c r="A270" s="2" t="s">
        <v>1</v>
      </c>
      <c r="B270" s="2" t="s">
        <v>2</v>
      </c>
      <c r="C270" s="2" t="s">
        <v>3</v>
      </c>
      <c r="D270" s="2"/>
      <c r="E270" s="2" t="s">
        <v>348</v>
      </c>
      <c r="F270" s="2" t="s">
        <v>334</v>
      </c>
      <c r="G270" s="2">
        <v>52</v>
      </c>
      <c r="H270" s="2" t="s">
        <v>59</v>
      </c>
      <c r="I270" s="2" t="s">
        <v>59</v>
      </c>
      <c r="J270" s="2" t="s">
        <v>426</v>
      </c>
      <c r="K270" s="2">
        <v>38592306</v>
      </c>
      <c r="L270" s="3">
        <v>62</v>
      </c>
      <c r="M270" s="4"/>
      <c r="N270" s="4"/>
      <c r="O270" s="4"/>
      <c r="P270" s="4"/>
      <c r="Q270" s="4"/>
      <c r="R270" s="5"/>
      <c r="S270" s="5">
        <f>MAX(ROUND(10*(CY270/L270), 0),1)</f>
        <v>10</v>
      </c>
      <c r="T270" s="5">
        <f>MAX(ROUND(21*(CY270/L270), 0),1)</f>
        <v>21</v>
      </c>
      <c r="U270" s="5">
        <f>MAX(ROUND(21*(CY270/L270), 0),1)</f>
        <v>21</v>
      </c>
      <c r="V270" s="5">
        <f>MAX(ROUND(10*(CY270/L270), 0),1)</f>
        <v>10</v>
      </c>
      <c r="W270" s="4"/>
      <c r="X270" s="5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2">
        <v>62</v>
      </c>
      <c r="CZ270" s="2">
        <f t="shared" si="15"/>
        <v>62</v>
      </c>
      <c r="DA270" s="9">
        <v>24</v>
      </c>
      <c r="DB270" s="9">
        <v>59.99</v>
      </c>
    </row>
    <row r="271" spans="1:106" ht="60" customHeight="1">
      <c r="A271" s="2" t="s">
        <v>1</v>
      </c>
      <c r="B271" s="2" t="s">
        <v>2</v>
      </c>
      <c r="C271" s="2" t="s">
        <v>3</v>
      </c>
      <c r="D271" s="2"/>
      <c r="E271" s="2" t="s">
        <v>349</v>
      </c>
      <c r="F271" s="2" t="s">
        <v>342</v>
      </c>
      <c r="G271" s="2">
        <v>5</v>
      </c>
      <c r="H271" s="2" t="s">
        <v>59</v>
      </c>
      <c r="I271" s="2" t="s">
        <v>59</v>
      </c>
      <c r="J271" s="2" t="s">
        <v>414</v>
      </c>
      <c r="K271" s="2">
        <v>38592310</v>
      </c>
      <c r="L271" s="3">
        <v>36</v>
      </c>
      <c r="M271" s="4"/>
      <c r="N271" s="4"/>
      <c r="O271" s="4"/>
      <c r="P271" s="4"/>
      <c r="Q271" s="4"/>
      <c r="R271" s="5"/>
      <c r="S271" s="5">
        <f>MAX(ROUND(11*(CY271/L271), 0),1)</f>
        <v>11</v>
      </c>
      <c r="T271" s="5">
        <f>MAX(ROUND(11*(CY271/L271), 0),1)</f>
        <v>11</v>
      </c>
      <c r="U271" s="5">
        <f>MAX(ROUND(9*(CY271/L271), 0),1)</f>
        <v>9</v>
      </c>
      <c r="V271" s="5">
        <f>MAX(ROUND(5*(CY271/L271), 0),1)</f>
        <v>5</v>
      </c>
      <c r="W271" s="4"/>
      <c r="X271" s="5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2">
        <v>36</v>
      </c>
      <c r="CZ271" s="2">
        <f t="shared" si="15"/>
        <v>36</v>
      </c>
      <c r="DA271" s="9">
        <v>30</v>
      </c>
      <c r="DB271" s="9">
        <v>74.989999999999995</v>
      </c>
    </row>
    <row r="272" spans="1:106" ht="60" customHeight="1">
      <c r="A272" s="2" t="s">
        <v>1</v>
      </c>
      <c r="B272" s="2" t="s">
        <v>2</v>
      </c>
      <c r="C272" s="2" t="s">
        <v>3</v>
      </c>
      <c r="D272" s="2"/>
      <c r="E272" s="2" t="s">
        <v>350</v>
      </c>
      <c r="F272" s="2" t="s">
        <v>351</v>
      </c>
      <c r="G272" s="2">
        <v>12</v>
      </c>
      <c r="H272" s="2" t="s">
        <v>59</v>
      </c>
      <c r="I272" s="2" t="s">
        <v>59</v>
      </c>
      <c r="J272" s="2" t="s">
        <v>414</v>
      </c>
      <c r="K272" s="2">
        <v>38592314</v>
      </c>
      <c r="L272" s="3">
        <v>41</v>
      </c>
      <c r="M272" s="4"/>
      <c r="N272" s="4"/>
      <c r="O272" s="4"/>
      <c r="P272" s="4"/>
      <c r="Q272" s="4"/>
      <c r="R272" s="5"/>
      <c r="S272" s="5">
        <f>MAX(ROUND(10*(CY272/L272), 0),1)</f>
        <v>10</v>
      </c>
      <c r="T272" s="5">
        <f>MAX(ROUND(14*(CY272/L272), 0),1)</f>
        <v>14</v>
      </c>
      <c r="U272" s="5">
        <f>MAX(ROUND(10*(CY272/L272), 0),1)</f>
        <v>10</v>
      </c>
      <c r="V272" s="5">
        <f>MAX(ROUND(7*(CY272/L272), 0),1)</f>
        <v>7</v>
      </c>
      <c r="W272" s="4"/>
      <c r="X272" s="5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2">
        <v>41</v>
      </c>
      <c r="CZ272" s="2">
        <f t="shared" si="15"/>
        <v>41</v>
      </c>
      <c r="DA272" s="9">
        <v>24</v>
      </c>
      <c r="DB272" s="9">
        <v>59.99</v>
      </c>
    </row>
    <row r="273" spans="1:106" ht="60" customHeight="1">
      <c r="A273" s="2" t="s">
        <v>1</v>
      </c>
      <c r="B273" s="2" t="s">
        <v>2</v>
      </c>
      <c r="C273" s="2" t="s">
        <v>3</v>
      </c>
      <c r="D273" s="2"/>
      <c r="E273" s="2" t="s">
        <v>352</v>
      </c>
      <c r="F273" s="2" t="s">
        <v>328</v>
      </c>
      <c r="G273" s="2">
        <v>53</v>
      </c>
      <c r="H273" s="2" t="s">
        <v>59</v>
      </c>
      <c r="I273" s="2" t="s">
        <v>59</v>
      </c>
      <c r="J273" s="2" t="s">
        <v>402</v>
      </c>
      <c r="K273" s="2">
        <v>38727399</v>
      </c>
      <c r="L273" s="3">
        <v>48</v>
      </c>
      <c r="M273" s="4"/>
      <c r="N273" s="4"/>
      <c r="O273" s="4"/>
      <c r="P273" s="4"/>
      <c r="Q273" s="4"/>
      <c r="R273" s="5"/>
      <c r="S273" s="5">
        <f>MAX(ROUND(12*(CY273/L273), 0),1)</f>
        <v>12</v>
      </c>
      <c r="T273" s="5">
        <f>MAX(ROUND(12*(CY273/L273), 0),1)</f>
        <v>12</v>
      </c>
      <c r="U273" s="5">
        <f>MAX(ROUND(14*(CY273/L273), 0),1)</f>
        <v>14</v>
      </c>
      <c r="V273" s="5">
        <f>MAX(ROUND(10*(CY273/L273), 0),1)</f>
        <v>10</v>
      </c>
      <c r="W273" s="4"/>
      <c r="X273" s="5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2">
        <v>48</v>
      </c>
      <c r="CZ273" s="2">
        <f t="shared" si="15"/>
        <v>48</v>
      </c>
      <c r="DA273" s="9">
        <v>20</v>
      </c>
      <c r="DB273" s="9">
        <v>49.99</v>
      </c>
    </row>
    <row r="274" spans="1:106" ht="60" customHeight="1">
      <c r="A274" s="2" t="s">
        <v>1</v>
      </c>
      <c r="B274" s="2" t="s">
        <v>2</v>
      </c>
      <c r="C274" s="2" t="s">
        <v>3</v>
      </c>
      <c r="D274" s="2"/>
      <c r="E274" s="2" t="s">
        <v>352</v>
      </c>
      <c r="F274" s="2" t="s">
        <v>344</v>
      </c>
      <c r="G274" s="2">
        <v>63</v>
      </c>
      <c r="H274" s="2" t="s">
        <v>59</v>
      </c>
      <c r="I274" s="2" t="s">
        <v>59</v>
      </c>
      <c r="J274" s="2" t="s">
        <v>402</v>
      </c>
      <c r="K274" s="2">
        <v>38727400</v>
      </c>
      <c r="L274" s="3">
        <v>51</v>
      </c>
      <c r="M274" s="4"/>
      <c r="N274" s="4"/>
      <c r="O274" s="4"/>
      <c r="P274" s="4"/>
      <c r="Q274" s="4"/>
      <c r="R274" s="5"/>
      <c r="S274" s="5">
        <f>MAX(ROUND(13*(CY274/L274), 0),1)</f>
        <v>13</v>
      </c>
      <c r="T274" s="5">
        <f>MAX(ROUND(17*(CY274/L274), 0),1)</f>
        <v>17</v>
      </c>
      <c r="U274" s="5">
        <f>MAX(ROUND(14*(CY274/L274), 0),1)</f>
        <v>14</v>
      </c>
      <c r="V274" s="5">
        <f>MAX(ROUND(7*(CY274/L274), 0),1)</f>
        <v>7</v>
      </c>
      <c r="W274" s="4"/>
      <c r="X274" s="5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2">
        <v>51</v>
      </c>
      <c r="CZ274" s="2">
        <f t="shared" si="15"/>
        <v>51</v>
      </c>
      <c r="DA274" s="9">
        <v>20</v>
      </c>
      <c r="DB274" s="9">
        <v>49.99</v>
      </c>
    </row>
    <row r="275" spans="1:106" ht="60" customHeight="1">
      <c r="A275" s="2" t="s">
        <v>1</v>
      </c>
      <c r="B275" s="2" t="s">
        <v>2</v>
      </c>
      <c r="C275" s="2" t="s">
        <v>3</v>
      </c>
      <c r="D275" s="2"/>
      <c r="E275" s="2" t="s">
        <v>353</v>
      </c>
      <c r="F275" s="2" t="s">
        <v>328</v>
      </c>
      <c r="G275" s="2">
        <v>53</v>
      </c>
      <c r="H275" s="2" t="s">
        <v>59</v>
      </c>
      <c r="I275" s="2" t="s">
        <v>59</v>
      </c>
      <c r="J275" s="2" t="s">
        <v>402</v>
      </c>
      <c r="K275" s="2">
        <v>38727403</v>
      </c>
      <c r="L275" s="3">
        <v>57</v>
      </c>
      <c r="M275" s="4"/>
      <c r="N275" s="4"/>
      <c r="O275" s="4"/>
      <c r="P275" s="4"/>
      <c r="Q275" s="4"/>
      <c r="R275" s="5"/>
      <c r="S275" s="5">
        <f>MAX(ROUND(14*(CY275/L275), 0),1)</f>
        <v>14</v>
      </c>
      <c r="T275" s="5">
        <f>MAX(ROUND(18*(CY275/L275), 0),1)</f>
        <v>18</v>
      </c>
      <c r="U275" s="5">
        <f>MAX(ROUND(16*(CY275/L275), 0),1)</f>
        <v>16</v>
      </c>
      <c r="V275" s="5">
        <f>MAX(ROUND(9*(CY275/L275), 0),1)</f>
        <v>9</v>
      </c>
      <c r="W275" s="4"/>
      <c r="X275" s="5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/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2">
        <v>57</v>
      </c>
      <c r="CZ275" s="2">
        <f t="shared" si="15"/>
        <v>57</v>
      </c>
      <c r="DA275" s="9">
        <v>18</v>
      </c>
      <c r="DB275" s="9">
        <v>44.99</v>
      </c>
    </row>
    <row r="276" spans="1:106" ht="60" customHeight="1">
      <c r="A276" s="2" t="s">
        <v>1</v>
      </c>
      <c r="B276" s="2" t="s">
        <v>2</v>
      </c>
      <c r="C276" s="2" t="s">
        <v>3</v>
      </c>
      <c r="D276" s="2"/>
      <c r="E276" s="2" t="s">
        <v>353</v>
      </c>
      <c r="F276" s="2" t="s">
        <v>344</v>
      </c>
      <c r="G276" s="2">
        <v>63</v>
      </c>
      <c r="H276" s="2" t="s">
        <v>59</v>
      </c>
      <c r="I276" s="2" t="s">
        <v>59</v>
      </c>
      <c r="J276" s="2" t="s">
        <v>402</v>
      </c>
      <c r="K276" s="2">
        <v>38727404</v>
      </c>
      <c r="L276" s="3">
        <v>56</v>
      </c>
      <c r="M276" s="4"/>
      <c r="N276" s="4"/>
      <c r="O276" s="4"/>
      <c r="P276" s="4"/>
      <c r="Q276" s="4"/>
      <c r="R276" s="5"/>
      <c r="S276" s="5">
        <f>MAX(ROUND(14*(CY276/L276), 0),1)</f>
        <v>14</v>
      </c>
      <c r="T276" s="5">
        <f>MAX(ROUND(18*(CY276/L276), 0),1)</f>
        <v>18</v>
      </c>
      <c r="U276" s="5">
        <f>MAX(ROUND(15*(CY276/L276), 0),1)</f>
        <v>15</v>
      </c>
      <c r="V276" s="5">
        <f>MAX(ROUND(9*(CY276/L276), 0),1)</f>
        <v>9</v>
      </c>
      <c r="W276" s="4"/>
      <c r="X276" s="5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2">
        <v>56</v>
      </c>
      <c r="CZ276" s="2">
        <f t="shared" si="15"/>
        <v>56</v>
      </c>
      <c r="DA276" s="9">
        <v>18</v>
      </c>
      <c r="DB276" s="9">
        <v>44.99</v>
      </c>
    </row>
    <row r="277" spans="1:106" ht="60" customHeight="1">
      <c r="A277" s="2" t="s">
        <v>1</v>
      </c>
      <c r="B277" s="2" t="s">
        <v>2</v>
      </c>
      <c r="C277" s="2" t="s">
        <v>3</v>
      </c>
      <c r="D277" s="2"/>
      <c r="E277" s="2" t="s">
        <v>354</v>
      </c>
      <c r="F277" s="2" t="s">
        <v>355</v>
      </c>
      <c r="G277" s="2">
        <v>12</v>
      </c>
      <c r="H277" s="2" t="s">
        <v>59</v>
      </c>
      <c r="I277" s="2" t="s">
        <v>59</v>
      </c>
      <c r="J277" s="2" t="s">
        <v>402</v>
      </c>
      <c r="K277" s="2">
        <v>38727407</v>
      </c>
      <c r="L277" s="3">
        <v>24</v>
      </c>
      <c r="M277" s="4"/>
      <c r="N277" s="4"/>
      <c r="O277" s="4"/>
      <c r="P277" s="4"/>
      <c r="Q277" s="4"/>
      <c r="R277" s="5"/>
      <c r="S277" s="5">
        <f>MAX(ROUND(7*(CY277/L277), 0),1)</f>
        <v>7</v>
      </c>
      <c r="T277" s="5">
        <f>MAX(ROUND(6*(CY277/L277), 0),1)</f>
        <v>6</v>
      </c>
      <c r="U277" s="5">
        <f>MAX(ROUND(7*(CY277/L277), 0),1)</f>
        <v>7</v>
      </c>
      <c r="V277" s="5">
        <f>MAX(ROUND(4*(CY277/L277), 0),1)</f>
        <v>4</v>
      </c>
      <c r="W277" s="4"/>
      <c r="X277" s="5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2">
        <v>24</v>
      </c>
      <c r="CZ277" s="2">
        <f t="shared" si="15"/>
        <v>24</v>
      </c>
      <c r="DA277" s="9">
        <v>18</v>
      </c>
      <c r="DB277" s="9">
        <v>44.99</v>
      </c>
    </row>
    <row r="278" spans="1:106" ht="60" customHeight="1">
      <c r="A278" s="2" t="s">
        <v>1</v>
      </c>
      <c r="B278" s="2" t="s">
        <v>6</v>
      </c>
      <c r="C278" s="2" t="s">
        <v>3</v>
      </c>
      <c r="D278" s="2"/>
      <c r="E278" s="2" t="s">
        <v>356</v>
      </c>
      <c r="F278" s="2" t="s">
        <v>12</v>
      </c>
      <c r="G278" s="2">
        <v>8</v>
      </c>
      <c r="H278" s="2" t="s">
        <v>4</v>
      </c>
      <c r="I278" s="2" t="s">
        <v>159</v>
      </c>
      <c r="J278" s="2" t="s">
        <v>430</v>
      </c>
      <c r="K278" s="2">
        <v>38823923</v>
      </c>
      <c r="L278" s="3">
        <v>197</v>
      </c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5">
        <f>MAX(ROUND(62*(CY278/L278), 0),1)</f>
        <v>62</v>
      </c>
      <c r="BD278" s="5">
        <f>MAX(ROUND(117*(CY278/L278), 0),1)</f>
        <v>117</v>
      </c>
      <c r="BE278" s="5">
        <f>MAX(ROUND(18*(CY278/L278), 0),1)</f>
        <v>18</v>
      </c>
      <c r="BF278" s="5"/>
      <c r="BG278" s="4"/>
      <c r="BH278" s="5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2">
        <v>197</v>
      </c>
      <c r="CZ278" s="2">
        <f t="shared" si="15"/>
        <v>197</v>
      </c>
      <c r="DA278" s="9">
        <v>17.5</v>
      </c>
      <c r="DB278" s="9">
        <v>35</v>
      </c>
    </row>
    <row r="279" spans="1:106" ht="60" customHeight="1">
      <c r="A279" s="2" t="s">
        <v>1</v>
      </c>
      <c r="B279" s="2" t="s">
        <v>2</v>
      </c>
      <c r="C279" s="2" t="s">
        <v>3</v>
      </c>
      <c r="D279" s="2"/>
      <c r="E279" s="2" t="s">
        <v>323</v>
      </c>
      <c r="F279" s="2" t="s">
        <v>312</v>
      </c>
      <c r="G279" s="2">
        <v>55</v>
      </c>
      <c r="H279" s="2" t="s">
        <v>4</v>
      </c>
      <c r="I279" s="2" t="s">
        <v>5</v>
      </c>
      <c r="J279" s="2" t="s">
        <v>402</v>
      </c>
      <c r="K279" s="2">
        <v>38956893</v>
      </c>
      <c r="L279" s="3">
        <v>80</v>
      </c>
      <c r="M279" s="4"/>
      <c r="N279" s="4"/>
      <c r="O279" s="4"/>
      <c r="P279" s="4"/>
      <c r="Q279" s="4"/>
      <c r="R279" s="4"/>
      <c r="S279" s="5">
        <f>MAX(ROUND(10*(CY279/L279), 0),1)</f>
        <v>10</v>
      </c>
      <c r="T279" s="5">
        <f>MAX(ROUND(24*(CY279/L279), 0),1)</f>
        <v>24</v>
      </c>
      <c r="U279" s="5">
        <f>MAX(ROUND(25*(CY279/L279), 0),1)</f>
        <v>25</v>
      </c>
      <c r="V279" s="5">
        <f>MAX(ROUND(15*(CY279/L279), 0),1)</f>
        <v>15</v>
      </c>
      <c r="W279" s="4"/>
      <c r="X279" s="5">
        <f>MAX(ROUND(6*(CY279/L279), 0),1)</f>
        <v>6</v>
      </c>
      <c r="Y279" s="5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2">
        <v>80</v>
      </c>
      <c r="CZ279" s="2">
        <f t="shared" si="15"/>
        <v>80</v>
      </c>
      <c r="DA279" s="9">
        <v>14.63</v>
      </c>
      <c r="DB279" s="9">
        <v>29.99</v>
      </c>
    </row>
    <row r="280" spans="1:106" ht="60" customHeight="1">
      <c r="A280" s="2" t="s">
        <v>1</v>
      </c>
      <c r="B280" s="2" t="s">
        <v>2</v>
      </c>
      <c r="C280" s="2" t="s">
        <v>3</v>
      </c>
      <c r="D280" s="2"/>
      <c r="E280" s="2" t="s">
        <v>74</v>
      </c>
      <c r="F280" s="2" t="s">
        <v>360</v>
      </c>
      <c r="G280" s="2">
        <v>32</v>
      </c>
      <c r="H280" s="2" t="s">
        <v>4</v>
      </c>
      <c r="I280" s="2" t="s">
        <v>10</v>
      </c>
      <c r="J280" s="2" t="s">
        <v>404</v>
      </c>
      <c r="K280" s="2">
        <v>39251752</v>
      </c>
      <c r="L280" s="3">
        <v>90</v>
      </c>
      <c r="M280" s="4"/>
      <c r="N280" s="4"/>
      <c r="O280" s="4"/>
      <c r="P280" s="4"/>
      <c r="Q280" s="4"/>
      <c r="R280" s="4"/>
      <c r="S280" s="5">
        <f>MAX(ROUND(12*(CY280/L280), 0),1)</f>
        <v>12</v>
      </c>
      <c r="T280" s="5">
        <f>MAX(ROUND(18*(CY280/L280), 0),1)</f>
        <v>18</v>
      </c>
      <c r="U280" s="5">
        <f>MAX(ROUND(24*(CY280/L280), 0),1)</f>
        <v>24</v>
      </c>
      <c r="V280" s="5">
        <f>MAX(ROUND(18*(CY280/L280), 0),1)</f>
        <v>18</v>
      </c>
      <c r="W280" s="4"/>
      <c r="X280" s="5">
        <f>MAX(ROUND(12*(CY280/L280), 0),1)</f>
        <v>12</v>
      </c>
      <c r="Y280" s="5">
        <f>MAX(ROUND(6*(CY280/L280), 0),1)</f>
        <v>6</v>
      </c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2">
        <v>90</v>
      </c>
      <c r="CZ280" s="2">
        <f t="shared" si="15"/>
        <v>90</v>
      </c>
      <c r="DA280" s="9">
        <v>7.31</v>
      </c>
      <c r="DB280" s="9">
        <v>14.99</v>
      </c>
    </row>
    <row r="281" spans="1:106" ht="60" customHeight="1">
      <c r="A281" s="2" t="s">
        <v>1</v>
      </c>
      <c r="B281" s="2" t="s">
        <v>2</v>
      </c>
      <c r="C281" s="2" t="s">
        <v>81</v>
      </c>
      <c r="D281" s="2"/>
      <c r="E281" s="2" t="s">
        <v>361</v>
      </c>
      <c r="F281" s="2" t="s">
        <v>22</v>
      </c>
      <c r="G281" s="2">
        <v>10</v>
      </c>
      <c r="H281" s="2" t="s">
        <v>82</v>
      </c>
      <c r="I281" s="2" t="s">
        <v>310</v>
      </c>
      <c r="J281" s="2" t="s">
        <v>431</v>
      </c>
      <c r="K281" s="2">
        <v>39282594</v>
      </c>
      <c r="L281" s="3">
        <v>235</v>
      </c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5">
        <f>MAX(ROUND(235*(CY281/L281), 0),1)</f>
        <v>235</v>
      </c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2">
        <v>235</v>
      </c>
      <c r="CZ281" s="2">
        <f t="shared" si="15"/>
        <v>235</v>
      </c>
      <c r="DA281" s="9">
        <v>12.5</v>
      </c>
      <c r="DB281" s="9">
        <v>25</v>
      </c>
    </row>
    <row r="282" spans="1:106" ht="60" customHeight="1">
      <c r="A282" s="2" t="s">
        <v>1</v>
      </c>
      <c r="B282" s="2" t="s">
        <v>109</v>
      </c>
      <c r="C282" s="2" t="s">
        <v>84</v>
      </c>
      <c r="D282" s="2"/>
      <c r="E282" s="2" t="s">
        <v>362</v>
      </c>
      <c r="F282" s="2" t="s">
        <v>363</v>
      </c>
      <c r="G282" s="2">
        <v>81</v>
      </c>
      <c r="H282" s="2" t="s">
        <v>4</v>
      </c>
      <c r="I282" s="2" t="s">
        <v>141</v>
      </c>
      <c r="J282" s="2" t="s">
        <v>421</v>
      </c>
      <c r="K282" s="2">
        <v>40035096</v>
      </c>
      <c r="L282" s="3">
        <v>45</v>
      </c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5">
        <f>MAX(ROUND(3*(CY282/L282), 0),1)</f>
        <v>3</v>
      </c>
      <c r="AW282" s="5">
        <f>MAX(ROUND(3*(CY282/L282), 0),1)</f>
        <v>3</v>
      </c>
      <c r="AX282" s="5">
        <f>MAX(ROUND(3*(CY282/L282), 0),1)</f>
        <v>3</v>
      </c>
      <c r="AY282" s="5">
        <f>MAX(ROUND(6*(CY282/L282), 0),1)</f>
        <v>6</v>
      </c>
      <c r="AZ282" s="5">
        <f>MAX(ROUND(9*(CY282/L282), 0),1)</f>
        <v>9</v>
      </c>
      <c r="BA282" s="5">
        <f>MAX(ROUND(9*(CY282/L282), 0),1)</f>
        <v>9</v>
      </c>
      <c r="BB282" s="5">
        <f>MAX(ROUND(6*(CY282/L282), 0),1)</f>
        <v>6</v>
      </c>
      <c r="BC282" s="5">
        <f>MAX(ROUND(6*(CY282/L282), 0),1)</f>
        <v>6</v>
      </c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2">
        <v>45</v>
      </c>
      <c r="CZ282" s="2">
        <f t="shared" si="15"/>
        <v>45</v>
      </c>
      <c r="DA282" s="9">
        <v>20</v>
      </c>
      <c r="DB282" s="9">
        <v>39.99</v>
      </c>
    </row>
    <row r="283" spans="1:106" ht="60" customHeight="1">
      <c r="A283" s="2" t="s">
        <v>1</v>
      </c>
      <c r="B283" s="2" t="s">
        <v>109</v>
      </c>
      <c r="C283" s="2" t="s">
        <v>84</v>
      </c>
      <c r="D283" s="2"/>
      <c r="E283" s="2" t="s">
        <v>313</v>
      </c>
      <c r="F283" s="2" t="s">
        <v>314</v>
      </c>
      <c r="G283" s="2">
        <v>34</v>
      </c>
      <c r="H283" s="2" t="s">
        <v>4</v>
      </c>
      <c r="I283" s="2" t="s">
        <v>141</v>
      </c>
      <c r="J283" s="2" t="s">
        <v>421</v>
      </c>
      <c r="K283" s="2">
        <v>40044539</v>
      </c>
      <c r="L283" s="3">
        <v>180</v>
      </c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5">
        <f>MAX(ROUND(12*(CY283/L283), 0),1)</f>
        <v>12</v>
      </c>
      <c r="AW283" s="5">
        <f>MAX(ROUND(12*(CY283/L283), 0),1)</f>
        <v>12</v>
      </c>
      <c r="AX283" s="5">
        <f>MAX(ROUND(12*(CY283/L283), 0),1)</f>
        <v>12</v>
      </c>
      <c r="AY283" s="5">
        <f>MAX(ROUND(24*(CY283/L283), 0),1)</f>
        <v>24</v>
      </c>
      <c r="AZ283" s="5">
        <f>MAX(ROUND(36*(CY283/L283), 0),1)</f>
        <v>36</v>
      </c>
      <c r="BA283" s="5">
        <f>MAX(ROUND(36*(CY283/L283), 0),1)</f>
        <v>36</v>
      </c>
      <c r="BB283" s="5">
        <f>MAX(ROUND(24*(CY283/L283), 0),1)</f>
        <v>24</v>
      </c>
      <c r="BC283" s="5">
        <f>MAX(ROUND(24*(CY283/L283), 0),1)</f>
        <v>24</v>
      </c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2">
        <v>180</v>
      </c>
      <c r="CZ283" s="2">
        <f t="shared" si="15"/>
        <v>180</v>
      </c>
      <c r="DA283" s="9">
        <v>19.5</v>
      </c>
      <c r="DB283" s="9">
        <v>38.99</v>
      </c>
    </row>
    <row r="284" spans="1:106" ht="60" customHeight="1">
      <c r="A284" s="2" t="s">
        <v>1</v>
      </c>
      <c r="B284" s="2" t="s">
        <v>109</v>
      </c>
      <c r="C284" s="2" t="s">
        <v>84</v>
      </c>
      <c r="D284" s="2"/>
      <c r="E284" s="2" t="s">
        <v>139</v>
      </c>
      <c r="F284" s="2" t="s">
        <v>324</v>
      </c>
      <c r="G284" s="2">
        <v>135</v>
      </c>
      <c r="H284" s="2" t="s">
        <v>4</v>
      </c>
      <c r="I284" s="2" t="s">
        <v>140</v>
      </c>
      <c r="J284" s="2" t="s">
        <v>420</v>
      </c>
      <c r="K284" s="2">
        <v>40344727</v>
      </c>
      <c r="L284" s="3">
        <v>72</v>
      </c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5">
        <f>MAX(ROUND(8*(CY284/L284), 0),1)</f>
        <v>8</v>
      </c>
      <c r="AW284" s="5">
        <f>MAX(ROUND(8*(CY284/L284), 0),1)</f>
        <v>8</v>
      </c>
      <c r="AX284" s="5">
        <f>MAX(ROUND(8*(CY284/L284), 0),1)</f>
        <v>8</v>
      </c>
      <c r="AY284" s="5">
        <f>MAX(ROUND(8*(CY284/L284), 0),1)</f>
        <v>8</v>
      </c>
      <c r="AZ284" s="5">
        <f>MAX(ROUND(8*(CY284/L284), 0),1)</f>
        <v>8</v>
      </c>
      <c r="BA284" s="5">
        <f>MAX(ROUND(8*(CY284/L284), 0),1)</f>
        <v>8</v>
      </c>
      <c r="BB284" s="5">
        <f>MAX(ROUND(8*(CY284/L284), 0),1)</f>
        <v>8</v>
      </c>
      <c r="BC284" s="5">
        <f>MAX(ROUND(16*(CY284/L284), 0),1)</f>
        <v>16</v>
      </c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2">
        <v>72</v>
      </c>
      <c r="CZ284" s="2">
        <f t="shared" si="15"/>
        <v>72</v>
      </c>
      <c r="DA284" s="9">
        <v>9</v>
      </c>
      <c r="DB284" s="9">
        <v>17.989999999999998</v>
      </c>
    </row>
    <row r="285" spans="1:106" ht="60" customHeight="1">
      <c r="A285" s="2" t="s">
        <v>1</v>
      </c>
      <c r="B285" s="2" t="s">
        <v>2</v>
      </c>
      <c r="C285" s="2" t="s">
        <v>84</v>
      </c>
      <c r="D285" s="2"/>
      <c r="E285" s="2" t="s">
        <v>315</v>
      </c>
      <c r="F285" s="2" t="s">
        <v>23</v>
      </c>
      <c r="G285" s="2">
        <v>4</v>
      </c>
      <c r="H285" s="2" t="s">
        <v>4</v>
      </c>
      <c r="I285" s="2" t="s">
        <v>140</v>
      </c>
      <c r="J285" s="2" t="s">
        <v>420</v>
      </c>
      <c r="K285" s="2">
        <v>40364735</v>
      </c>
      <c r="L285" s="3">
        <v>108</v>
      </c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5">
        <f>MAX(ROUND(12*(CY285/L285), 0),1)</f>
        <v>12</v>
      </c>
      <c r="BL285" s="4"/>
      <c r="BM285" s="5">
        <f>MAX(ROUND(24*(CY285/L285), 0),1)</f>
        <v>24</v>
      </c>
      <c r="BN285" s="4"/>
      <c r="BO285" s="5">
        <f>MAX(ROUND(24*(CY285/L285), 0),1)</f>
        <v>24</v>
      </c>
      <c r="BP285" s="5">
        <f>MAX(ROUND(24*(CY285/L285), 0),1)</f>
        <v>24</v>
      </c>
      <c r="BQ285" s="4"/>
      <c r="BR285" s="5">
        <f>MAX(ROUND(12*(CY285/L285), 0),1)</f>
        <v>12</v>
      </c>
      <c r="BS285" s="4"/>
      <c r="BT285" s="5">
        <f>MAX(ROUND(12*(CY285/L285), 0),1)</f>
        <v>12</v>
      </c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/>
      <c r="CJ285" s="4"/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2">
        <v>108</v>
      </c>
      <c r="CZ285" s="2">
        <f t="shared" si="15"/>
        <v>108</v>
      </c>
      <c r="DA285" s="9">
        <v>9</v>
      </c>
      <c r="DB285" s="9">
        <v>17.989999999999998</v>
      </c>
    </row>
    <row r="286" spans="1:106" ht="60" customHeight="1">
      <c r="A286" s="2" t="s">
        <v>1</v>
      </c>
      <c r="B286" s="2" t="s">
        <v>2</v>
      </c>
      <c r="C286" s="2" t="s">
        <v>84</v>
      </c>
      <c r="D286" s="2"/>
      <c r="E286" s="2" t="s">
        <v>315</v>
      </c>
      <c r="F286" s="2" t="s">
        <v>94</v>
      </c>
      <c r="G286" s="2">
        <v>52</v>
      </c>
      <c r="H286" s="2" t="s">
        <v>4</v>
      </c>
      <c r="I286" s="2" t="s">
        <v>140</v>
      </c>
      <c r="J286" s="2" t="s">
        <v>420</v>
      </c>
      <c r="K286" s="2">
        <v>40364736</v>
      </c>
      <c r="L286" s="3">
        <v>36</v>
      </c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5">
        <f>MAX(ROUND(4*(CY286/L286), 0),1)</f>
        <v>4</v>
      </c>
      <c r="BL286" s="4"/>
      <c r="BM286" s="5">
        <f>MAX(ROUND(8*(CY286/L286), 0),1)</f>
        <v>8</v>
      </c>
      <c r="BN286" s="4"/>
      <c r="BO286" s="5">
        <f>MAX(ROUND(8*(CY286/L286), 0),1)</f>
        <v>8</v>
      </c>
      <c r="BP286" s="5">
        <f>MAX(ROUND(8*(CY286/L286), 0),1)</f>
        <v>8</v>
      </c>
      <c r="BQ286" s="4"/>
      <c r="BR286" s="5">
        <f>MAX(ROUND(4*(CY286/L286), 0),1)</f>
        <v>4</v>
      </c>
      <c r="BS286" s="4"/>
      <c r="BT286" s="5">
        <f>MAX(ROUND(4*(CY286/L286), 0),1)</f>
        <v>4</v>
      </c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2">
        <v>36</v>
      </c>
      <c r="CZ286" s="2">
        <f t="shared" ref="CZ286:CZ298" si="16">SUM(M286:CX286)</f>
        <v>36</v>
      </c>
      <c r="DA286" s="9">
        <v>9</v>
      </c>
      <c r="DB286" s="9">
        <v>17.989999999999998</v>
      </c>
    </row>
    <row r="287" spans="1:106" ht="60" customHeight="1">
      <c r="A287" s="2" t="s">
        <v>1</v>
      </c>
      <c r="B287" s="2" t="s">
        <v>109</v>
      </c>
      <c r="C287" s="2" t="s">
        <v>84</v>
      </c>
      <c r="D287" s="2"/>
      <c r="E287" s="2" t="s">
        <v>316</v>
      </c>
      <c r="F287" s="2" t="s">
        <v>94</v>
      </c>
      <c r="G287" s="2">
        <v>52</v>
      </c>
      <c r="H287" s="2" t="s">
        <v>4</v>
      </c>
      <c r="I287" s="2" t="s">
        <v>140</v>
      </c>
      <c r="J287" s="2" t="s">
        <v>420</v>
      </c>
      <c r="K287" s="2">
        <v>40364737</v>
      </c>
      <c r="L287" s="3">
        <v>36</v>
      </c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5">
        <f>MAX(ROUND(4*(CY287/L287), 0),1)</f>
        <v>4</v>
      </c>
      <c r="AW287" s="5">
        <f>MAX(ROUND(4*(CY287/L287), 0),1)</f>
        <v>4</v>
      </c>
      <c r="AX287" s="5">
        <f>MAX(ROUND(4*(CY287/L287), 0),1)</f>
        <v>4</v>
      </c>
      <c r="AY287" s="5">
        <f>MAX(ROUND(4*(CY287/L287), 0),1)</f>
        <v>4</v>
      </c>
      <c r="AZ287" s="5">
        <f>MAX(ROUND(4*(CY287/L287), 0),1)</f>
        <v>4</v>
      </c>
      <c r="BA287" s="5">
        <f>MAX(ROUND(4*(CY287/L287), 0),1)</f>
        <v>4</v>
      </c>
      <c r="BB287" s="5">
        <f>MAX(ROUND(4*(CY287/L287), 0),1)</f>
        <v>4</v>
      </c>
      <c r="BC287" s="5">
        <f>MAX(ROUND(8*(CY287/L287), 0),1)</f>
        <v>8</v>
      </c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2">
        <v>36</v>
      </c>
      <c r="CZ287" s="2">
        <f t="shared" si="16"/>
        <v>36</v>
      </c>
      <c r="DA287" s="9">
        <v>9</v>
      </c>
      <c r="DB287" s="9">
        <v>17.989999999999998</v>
      </c>
    </row>
    <row r="288" spans="1:106" ht="60" customHeight="1">
      <c r="A288" s="2" t="s">
        <v>1</v>
      </c>
      <c r="B288" s="2" t="s">
        <v>2</v>
      </c>
      <c r="C288" s="2" t="s">
        <v>84</v>
      </c>
      <c r="D288" s="2"/>
      <c r="E288" s="2" t="s">
        <v>316</v>
      </c>
      <c r="F288" s="2" t="s">
        <v>94</v>
      </c>
      <c r="G288" s="2">
        <v>52</v>
      </c>
      <c r="H288" s="2" t="s">
        <v>4</v>
      </c>
      <c r="I288" s="2" t="s">
        <v>140</v>
      </c>
      <c r="J288" s="2" t="s">
        <v>420</v>
      </c>
      <c r="K288" s="2">
        <v>40364740</v>
      </c>
      <c r="L288" s="3">
        <v>36</v>
      </c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5">
        <f>MAX(ROUND(4*(CY288/L288), 0),1)</f>
        <v>4</v>
      </c>
      <c r="BL288" s="4"/>
      <c r="BM288" s="5">
        <f>MAX(ROUND(8*(CY288/L288), 0),1)</f>
        <v>8</v>
      </c>
      <c r="BN288" s="4"/>
      <c r="BO288" s="5">
        <f>MAX(ROUND(8*(CY288/L288), 0),1)</f>
        <v>8</v>
      </c>
      <c r="BP288" s="5">
        <f>MAX(ROUND(8*(CY288/L288), 0),1)</f>
        <v>8</v>
      </c>
      <c r="BQ288" s="4"/>
      <c r="BR288" s="5">
        <f>MAX(ROUND(4*(CY288/L288), 0),1)</f>
        <v>4</v>
      </c>
      <c r="BS288" s="4"/>
      <c r="BT288" s="5">
        <f>MAX(ROUND(4*(CY288/L288), 0),1)</f>
        <v>4</v>
      </c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2">
        <v>36</v>
      </c>
      <c r="CZ288" s="2">
        <f t="shared" si="16"/>
        <v>36</v>
      </c>
      <c r="DA288" s="9">
        <v>10</v>
      </c>
      <c r="DB288" s="9">
        <v>19.989999999999998</v>
      </c>
    </row>
    <row r="289" spans="1:106" ht="60" customHeight="1">
      <c r="A289" s="2" t="s">
        <v>1</v>
      </c>
      <c r="B289" s="2" t="s">
        <v>2</v>
      </c>
      <c r="C289" s="2" t="s">
        <v>84</v>
      </c>
      <c r="D289" s="2"/>
      <c r="E289" s="2" t="s">
        <v>316</v>
      </c>
      <c r="F289" s="2" t="s">
        <v>12</v>
      </c>
      <c r="G289" s="2">
        <v>8</v>
      </c>
      <c r="H289" s="2" t="s">
        <v>4</v>
      </c>
      <c r="I289" s="2" t="s">
        <v>140</v>
      </c>
      <c r="J289" s="2" t="s">
        <v>420</v>
      </c>
      <c r="K289" s="2">
        <v>40364742</v>
      </c>
      <c r="L289" s="3">
        <v>36</v>
      </c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5">
        <f>MAX(ROUND(4*(CY289/L289), 0),1)</f>
        <v>4</v>
      </c>
      <c r="BL289" s="4"/>
      <c r="BM289" s="5">
        <f>MAX(ROUND(8*(CY289/L289), 0),1)</f>
        <v>8</v>
      </c>
      <c r="BN289" s="4"/>
      <c r="BO289" s="5">
        <f>MAX(ROUND(8*(CY289/L289), 0),1)</f>
        <v>8</v>
      </c>
      <c r="BP289" s="5">
        <f>MAX(ROUND(8*(CY289/L289), 0),1)</f>
        <v>8</v>
      </c>
      <c r="BQ289" s="4"/>
      <c r="BR289" s="5">
        <f>MAX(ROUND(4*(CY289/L289), 0),1)</f>
        <v>4</v>
      </c>
      <c r="BS289" s="4"/>
      <c r="BT289" s="5">
        <f>MAX(ROUND(4*(CY289/L289), 0),1)</f>
        <v>4</v>
      </c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2">
        <v>36</v>
      </c>
      <c r="CZ289" s="2">
        <f t="shared" si="16"/>
        <v>36</v>
      </c>
      <c r="DA289" s="9">
        <v>10</v>
      </c>
      <c r="DB289" s="9">
        <v>19.989999999999998</v>
      </c>
    </row>
    <row r="290" spans="1:106" ht="60" customHeight="1">
      <c r="A290" s="2" t="s">
        <v>1</v>
      </c>
      <c r="B290" s="2" t="s">
        <v>2</v>
      </c>
      <c r="C290" s="2" t="s">
        <v>84</v>
      </c>
      <c r="D290" s="2"/>
      <c r="E290" s="2" t="s">
        <v>357</v>
      </c>
      <c r="F290" s="2" t="s">
        <v>358</v>
      </c>
      <c r="G290" s="2">
        <v>34</v>
      </c>
      <c r="H290" s="2" t="s">
        <v>4</v>
      </c>
      <c r="I290" s="2" t="s">
        <v>140</v>
      </c>
      <c r="J290" s="2" t="s">
        <v>420</v>
      </c>
      <c r="K290" s="2">
        <v>40364746</v>
      </c>
      <c r="L290" s="3">
        <v>162</v>
      </c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5">
        <f>MAX(ROUND(18*(CY290/L290), 0),1)</f>
        <v>18</v>
      </c>
      <c r="BL290" s="4"/>
      <c r="BM290" s="5">
        <f>MAX(ROUND(36*(CY290/L290), 0),1)</f>
        <v>36</v>
      </c>
      <c r="BN290" s="4"/>
      <c r="BO290" s="5">
        <f>MAX(ROUND(36*(CY290/L290), 0),1)</f>
        <v>36</v>
      </c>
      <c r="BP290" s="5">
        <f>MAX(ROUND(36*(CY290/L290), 0),1)</f>
        <v>36</v>
      </c>
      <c r="BQ290" s="4"/>
      <c r="BR290" s="5">
        <f>MAX(ROUND(18*(CY290/L290), 0),1)</f>
        <v>18</v>
      </c>
      <c r="BS290" s="4"/>
      <c r="BT290" s="5">
        <f>MAX(ROUND(18*(CY290/L290), 0),1)</f>
        <v>18</v>
      </c>
      <c r="BU290" s="4"/>
      <c r="BV290" s="4"/>
      <c r="BW290" s="4"/>
      <c r="BX290" s="4"/>
      <c r="BY290" s="4"/>
      <c r="BZ290" s="4"/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2">
        <v>162</v>
      </c>
      <c r="CZ290" s="2">
        <f t="shared" si="16"/>
        <v>162</v>
      </c>
      <c r="DA290" s="9">
        <v>10</v>
      </c>
      <c r="DB290" s="9">
        <v>19.989999999999998</v>
      </c>
    </row>
    <row r="291" spans="1:106" ht="60" customHeight="1">
      <c r="A291" s="2" t="s">
        <v>1</v>
      </c>
      <c r="B291" s="2" t="s">
        <v>2</v>
      </c>
      <c r="C291" s="2" t="s">
        <v>84</v>
      </c>
      <c r="D291" s="2"/>
      <c r="E291" s="2" t="s">
        <v>357</v>
      </c>
      <c r="F291" s="2" t="s">
        <v>12</v>
      </c>
      <c r="G291" s="2">
        <v>8</v>
      </c>
      <c r="H291" s="2" t="s">
        <v>4</v>
      </c>
      <c r="I291" s="2" t="s">
        <v>140</v>
      </c>
      <c r="J291" s="2" t="s">
        <v>420</v>
      </c>
      <c r="K291" s="2">
        <v>40364748</v>
      </c>
      <c r="L291" s="3">
        <v>90</v>
      </c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5">
        <f>MAX(ROUND(10*(CY291/L291), 0),1)</f>
        <v>10</v>
      </c>
      <c r="BL291" s="4"/>
      <c r="BM291" s="5">
        <f>MAX(ROUND(20*(CY291/L291), 0),1)</f>
        <v>20</v>
      </c>
      <c r="BN291" s="4"/>
      <c r="BO291" s="5">
        <f>MAX(ROUND(20*(CY291/L291), 0),1)</f>
        <v>20</v>
      </c>
      <c r="BP291" s="5">
        <f>MAX(ROUND(20*(CY291/L291), 0),1)</f>
        <v>20</v>
      </c>
      <c r="BQ291" s="4"/>
      <c r="BR291" s="5">
        <f>MAX(ROUND(10*(CY291/L291), 0),1)</f>
        <v>10</v>
      </c>
      <c r="BS291" s="4"/>
      <c r="BT291" s="5">
        <f>MAX(ROUND(10*(CY291/L291), 0),1)</f>
        <v>10</v>
      </c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2">
        <v>90</v>
      </c>
      <c r="CZ291" s="2">
        <f t="shared" si="16"/>
        <v>90</v>
      </c>
      <c r="DA291" s="9">
        <v>10</v>
      </c>
      <c r="DB291" s="9">
        <v>19.989999999999998</v>
      </c>
    </row>
    <row r="292" spans="1:106" ht="60" customHeight="1">
      <c r="A292" s="2" t="s">
        <v>1</v>
      </c>
      <c r="B292" s="2" t="s">
        <v>6</v>
      </c>
      <c r="C292" s="2" t="s">
        <v>84</v>
      </c>
      <c r="D292" s="2"/>
      <c r="E292" s="2" t="s">
        <v>316</v>
      </c>
      <c r="F292" s="2" t="s">
        <v>12</v>
      </c>
      <c r="G292" s="2">
        <v>8</v>
      </c>
      <c r="H292" s="2" t="s">
        <v>4</v>
      </c>
      <c r="I292" s="2" t="s">
        <v>140</v>
      </c>
      <c r="J292" s="2" t="s">
        <v>420</v>
      </c>
      <c r="K292" s="2">
        <v>40504619</v>
      </c>
      <c r="L292" s="3">
        <v>72</v>
      </c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5">
        <f>MAX(ROUND(16*(CY292/L292), 0),1)</f>
        <v>16</v>
      </c>
      <c r="BE292" s="5">
        <f>MAX(ROUND(16*(CY292/L292), 0),1)</f>
        <v>16</v>
      </c>
      <c r="BF292" s="5">
        <f>MAX(ROUND(16*(CY292/L292), 0),1)</f>
        <v>16</v>
      </c>
      <c r="BG292" s="4"/>
      <c r="BH292" s="5">
        <f>MAX(ROUND(16*(CY292/L292), 0),1)</f>
        <v>16</v>
      </c>
      <c r="BI292" s="5">
        <f>MAX(ROUND(8*(CY292/L292), 0),1)</f>
        <v>8</v>
      </c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2">
        <v>72</v>
      </c>
      <c r="CZ292" s="2">
        <f t="shared" si="16"/>
        <v>72</v>
      </c>
      <c r="DA292" s="9">
        <v>10</v>
      </c>
      <c r="DB292" s="9">
        <v>19.989999999999998</v>
      </c>
    </row>
    <row r="293" spans="1:106" ht="60" customHeight="1">
      <c r="A293" s="2" t="s">
        <v>1</v>
      </c>
      <c r="B293" s="2" t="s">
        <v>6</v>
      </c>
      <c r="C293" s="2" t="s">
        <v>84</v>
      </c>
      <c r="D293" s="2"/>
      <c r="E293" s="2" t="s">
        <v>357</v>
      </c>
      <c r="F293" s="2" t="s">
        <v>94</v>
      </c>
      <c r="G293" s="2">
        <v>52</v>
      </c>
      <c r="H293" s="2" t="s">
        <v>4</v>
      </c>
      <c r="I293" s="2" t="s">
        <v>140</v>
      </c>
      <c r="J293" s="2" t="s">
        <v>420</v>
      </c>
      <c r="K293" s="2">
        <v>40504624</v>
      </c>
      <c r="L293" s="3">
        <v>72</v>
      </c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5">
        <f>MAX(ROUND(16*(CY293/L293), 0),1)</f>
        <v>16</v>
      </c>
      <c r="BE293" s="5">
        <f>MAX(ROUND(16*(CY293/L293), 0),1)</f>
        <v>16</v>
      </c>
      <c r="BF293" s="5">
        <f>MAX(ROUND(16*(CY293/L293), 0),1)</f>
        <v>16</v>
      </c>
      <c r="BG293" s="4"/>
      <c r="BH293" s="5">
        <f>MAX(ROUND(16*(CY293/L293), 0),1)</f>
        <v>16</v>
      </c>
      <c r="BI293" s="5">
        <f>MAX(ROUND(8*(CY293/L293), 0),1)</f>
        <v>8</v>
      </c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4"/>
      <c r="CE293" s="4"/>
      <c r="CF293" s="4"/>
      <c r="CG293" s="4"/>
      <c r="CH293" s="4"/>
      <c r="CI293" s="4"/>
      <c r="CJ293" s="4"/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2">
        <v>72</v>
      </c>
      <c r="CZ293" s="2">
        <f t="shared" si="16"/>
        <v>72</v>
      </c>
      <c r="DA293" s="9">
        <v>10</v>
      </c>
      <c r="DB293" s="9">
        <v>19.989999999999998</v>
      </c>
    </row>
    <row r="294" spans="1:106" ht="60" customHeight="1">
      <c r="A294" s="2" t="s">
        <v>1</v>
      </c>
      <c r="B294" s="2" t="s">
        <v>109</v>
      </c>
      <c r="C294" s="2" t="s">
        <v>84</v>
      </c>
      <c r="D294" s="2"/>
      <c r="E294" s="2" t="s">
        <v>317</v>
      </c>
      <c r="F294" s="2" t="s">
        <v>318</v>
      </c>
      <c r="G294" s="2">
        <v>173</v>
      </c>
      <c r="H294" s="2" t="s">
        <v>4</v>
      </c>
      <c r="I294" s="2" t="s">
        <v>140</v>
      </c>
      <c r="J294" s="2" t="s">
        <v>427</v>
      </c>
      <c r="K294" s="2">
        <v>40504626</v>
      </c>
      <c r="L294" s="3">
        <v>504</v>
      </c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5">
        <f>MAX(ROUND(56*(CY294/L294), 0),1)</f>
        <v>56</v>
      </c>
      <c r="AR294" s="5">
        <f>MAX(ROUND(56*(CY294/L294), 0),1)</f>
        <v>56</v>
      </c>
      <c r="AS294" s="5">
        <f>MAX(ROUND(56*(CY294/L294), 0),1)</f>
        <v>56</v>
      </c>
      <c r="AT294" s="5">
        <f>MAX(ROUND(56*(CY294/L294), 0),1)</f>
        <v>56</v>
      </c>
      <c r="AU294" s="4"/>
      <c r="AV294" s="5">
        <f>MAX(ROUND(56*(CY294/L294), 0),1)</f>
        <v>56</v>
      </c>
      <c r="AW294" s="5">
        <f>MAX(ROUND(56*(CY294/L294), 0),1)</f>
        <v>56</v>
      </c>
      <c r="AX294" s="5">
        <f>MAX(ROUND(56*(CY294/L294), 0),1)</f>
        <v>56</v>
      </c>
      <c r="AY294" s="5">
        <f>MAX(ROUND(112*(CY294/L294), 0),1)</f>
        <v>112</v>
      </c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2">
        <v>504</v>
      </c>
      <c r="CZ294" s="2">
        <f t="shared" si="16"/>
        <v>504</v>
      </c>
      <c r="DA294" s="9">
        <v>8</v>
      </c>
      <c r="DB294" s="9">
        <v>15.99</v>
      </c>
    </row>
    <row r="295" spans="1:106" ht="60" customHeight="1">
      <c r="A295" s="2" t="s">
        <v>1</v>
      </c>
      <c r="B295" s="2" t="s">
        <v>2</v>
      </c>
      <c r="C295" s="2" t="s">
        <v>179</v>
      </c>
      <c r="D295" s="2"/>
      <c r="E295" s="2" t="s">
        <v>180</v>
      </c>
      <c r="F295" s="2" t="s">
        <v>364</v>
      </c>
      <c r="G295" s="2">
        <v>31</v>
      </c>
      <c r="H295" s="2" t="s">
        <v>4</v>
      </c>
      <c r="I295" s="2" t="s">
        <v>182</v>
      </c>
      <c r="J295" s="2" t="s">
        <v>421</v>
      </c>
      <c r="K295" s="2">
        <v>40667039</v>
      </c>
      <c r="L295" s="3">
        <v>107</v>
      </c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5">
        <f>MAX(ROUND(68*(CY295/L295), 0),1)</f>
        <v>68</v>
      </c>
      <c r="BJ295" s="4"/>
      <c r="BK295" s="5"/>
      <c r="BL295" s="4"/>
      <c r="BM295" s="5"/>
      <c r="BN295" s="4"/>
      <c r="BO295" s="5"/>
      <c r="BP295" s="5"/>
      <c r="BQ295" s="4"/>
      <c r="BR295" s="5">
        <f>MAX(ROUND(39*(CY295/L295), 0),1)</f>
        <v>39</v>
      </c>
      <c r="BS295" s="4"/>
      <c r="BT295" s="5"/>
      <c r="BU295" s="4"/>
      <c r="BV295" s="5"/>
      <c r="BW295" s="4"/>
      <c r="BX295" s="4"/>
      <c r="BY295" s="4"/>
      <c r="BZ295" s="4"/>
      <c r="CA295" s="4"/>
      <c r="CB295" s="4"/>
      <c r="CC295" s="4"/>
      <c r="CD295" s="4"/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2">
        <v>107</v>
      </c>
      <c r="CZ295" s="2">
        <f t="shared" si="16"/>
        <v>107</v>
      </c>
      <c r="DA295" s="9">
        <v>20</v>
      </c>
      <c r="DB295" s="9">
        <v>39.99</v>
      </c>
    </row>
    <row r="296" spans="1:106" ht="60" customHeight="1">
      <c r="A296" s="2" t="s">
        <v>1</v>
      </c>
      <c r="B296" s="2" t="s">
        <v>6</v>
      </c>
      <c r="C296" s="2" t="s">
        <v>3</v>
      </c>
      <c r="D296" s="2"/>
      <c r="E296" s="2" t="s">
        <v>359</v>
      </c>
      <c r="F296" s="2" t="s">
        <v>312</v>
      </c>
      <c r="G296" s="2">
        <v>55</v>
      </c>
      <c r="H296" s="2" t="s">
        <v>4</v>
      </c>
      <c r="I296" s="2" t="s">
        <v>159</v>
      </c>
      <c r="J296" s="2" t="s">
        <v>417</v>
      </c>
      <c r="K296" s="2">
        <v>46874360</v>
      </c>
      <c r="L296" s="3">
        <v>17</v>
      </c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4"/>
      <c r="CE296" s="4"/>
      <c r="CF296" s="4"/>
      <c r="CG296" s="4"/>
      <c r="CH296" s="4"/>
      <c r="CI296" s="4"/>
      <c r="CJ296" s="4"/>
      <c r="CK296" s="4"/>
      <c r="CL296" s="4"/>
      <c r="CM296" s="4"/>
      <c r="CN296" s="5">
        <f>MAX(ROUND(2*(CY296/L296), 0),1)</f>
        <v>2</v>
      </c>
      <c r="CO296" s="4"/>
      <c r="CP296" s="5">
        <f>MAX(ROUND(4*(CY296/L296), 0),1)</f>
        <v>4</v>
      </c>
      <c r="CQ296" s="4"/>
      <c r="CR296" s="5">
        <f>MAX(ROUND(1*(CY296/L296), 0),1)</f>
        <v>1</v>
      </c>
      <c r="CS296" s="4"/>
      <c r="CT296" s="4"/>
      <c r="CU296" s="5"/>
      <c r="CV296" s="5">
        <f>MAX(ROUND(10*(CY296/L296), 0),1)</f>
        <v>10</v>
      </c>
      <c r="CW296" s="4"/>
      <c r="CX296" s="4"/>
      <c r="CY296" s="2">
        <v>17</v>
      </c>
      <c r="CZ296" s="2">
        <f t="shared" si="16"/>
        <v>17</v>
      </c>
      <c r="DA296" s="9">
        <v>32.5</v>
      </c>
      <c r="DB296" s="9">
        <v>64.989999999999995</v>
      </c>
    </row>
    <row r="297" spans="1:106" ht="60" customHeight="1">
      <c r="A297" s="2" t="s">
        <v>1</v>
      </c>
      <c r="B297" s="2" t="s">
        <v>6</v>
      </c>
      <c r="C297" s="2" t="s">
        <v>7</v>
      </c>
      <c r="D297" s="2"/>
      <c r="E297" s="2" t="s">
        <v>115</v>
      </c>
      <c r="F297" s="2" t="s">
        <v>365</v>
      </c>
      <c r="G297" s="2">
        <v>123</v>
      </c>
      <c r="H297" s="2" t="s">
        <v>7</v>
      </c>
      <c r="I297" s="2" t="s">
        <v>17</v>
      </c>
      <c r="J297" s="2" t="s">
        <v>414</v>
      </c>
      <c r="K297" s="2">
        <v>55966023</v>
      </c>
      <c r="L297" s="3">
        <v>183</v>
      </c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5">
        <f>MAX(ROUND(24*(CY297/L297), 0),1)</f>
        <v>24</v>
      </c>
      <c r="CM297" s="4"/>
      <c r="CN297" s="5">
        <f>MAX(ROUND(21*(CY297/L297), 0),1)</f>
        <v>21</v>
      </c>
      <c r="CO297" s="4"/>
      <c r="CP297" s="5">
        <f>MAX(ROUND(52*(CY297/L297), 0),1)</f>
        <v>52</v>
      </c>
      <c r="CQ297" s="4"/>
      <c r="CR297" s="5">
        <f>MAX(ROUND(86*(CY297/L297), 0),1)</f>
        <v>86</v>
      </c>
      <c r="CS297" s="4"/>
      <c r="CT297" s="4"/>
      <c r="CU297" s="4"/>
      <c r="CV297" s="4"/>
      <c r="CW297" s="4"/>
      <c r="CX297" s="4"/>
      <c r="CY297" s="2">
        <v>183</v>
      </c>
      <c r="CZ297" s="2">
        <f t="shared" si="16"/>
        <v>183</v>
      </c>
      <c r="DA297" s="9">
        <v>22.5</v>
      </c>
      <c r="DB297" s="9">
        <v>45</v>
      </c>
    </row>
    <row r="298" spans="1:106" ht="60" customHeight="1">
      <c r="A298" s="2" t="s">
        <v>1</v>
      </c>
      <c r="B298" s="2" t="s">
        <v>2</v>
      </c>
      <c r="C298" s="2" t="s">
        <v>7</v>
      </c>
      <c r="D298" s="2"/>
      <c r="E298" s="2" t="s">
        <v>95</v>
      </c>
      <c r="F298" s="2" t="s">
        <v>366</v>
      </c>
      <c r="G298" s="2">
        <v>123</v>
      </c>
      <c r="H298" s="2" t="s">
        <v>7</v>
      </c>
      <c r="I298" s="2" t="s">
        <v>17</v>
      </c>
      <c r="J298" s="2" t="s">
        <v>414</v>
      </c>
      <c r="K298" s="2">
        <v>55966024</v>
      </c>
      <c r="L298" s="3">
        <v>220</v>
      </c>
      <c r="M298" s="4"/>
      <c r="N298" s="4"/>
      <c r="O298" s="4"/>
      <c r="P298" s="4"/>
      <c r="Q298" s="4"/>
      <c r="R298" s="5"/>
      <c r="S298" s="5">
        <f>MAX(ROUND(16*(CY298/L298), 0),1)</f>
        <v>16</v>
      </c>
      <c r="T298" s="5"/>
      <c r="U298" s="5">
        <f>MAX(ROUND(60*(CY298/L298), 0),1)</f>
        <v>60</v>
      </c>
      <c r="V298" s="5">
        <f>MAX(ROUND(62*(CY298/L298), 0),1)</f>
        <v>62</v>
      </c>
      <c r="W298" s="4"/>
      <c r="X298" s="5">
        <f>MAX(ROUND(22*(CY298/L298), 0),1)</f>
        <v>22</v>
      </c>
      <c r="Y298" s="5">
        <f>MAX(ROUND(30*(CY298/L298), 0),1)</f>
        <v>30</v>
      </c>
      <c r="Z298" s="5">
        <f>MAX(ROUND(30*(CY298/L298), 0),1)</f>
        <v>30</v>
      </c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2">
        <v>220</v>
      </c>
      <c r="CZ298" s="2">
        <f t="shared" si="16"/>
        <v>220</v>
      </c>
      <c r="DA298" s="9">
        <v>25</v>
      </c>
      <c r="DB298" s="9">
        <v>50</v>
      </c>
    </row>
    <row r="299" spans="1:106" ht="60" customHeight="1">
      <c r="A299" s="2" t="s">
        <v>1</v>
      </c>
      <c r="B299" s="2" t="s">
        <v>2</v>
      </c>
      <c r="C299" s="2" t="s">
        <v>7</v>
      </c>
      <c r="D299" s="2"/>
      <c r="E299" s="2" t="s">
        <v>13</v>
      </c>
      <c r="F299" s="2" t="s">
        <v>367</v>
      </c>
      <c r="G299" s="2">
        <v>72</v>
      </c>
      <c r="H299" s="2" t="s">
        <v>7</v>
      </c>
      <c r="I299" s="2" t="s">
        <v>14</v>
      </c>
      <c r="J299" s="2" t="s">
        <v>405</v>
      </c>
      <c r="K299" s="2">
        <v>69845389</v>
      </c>
      <c r="L299" s="3">
        <v>3529</v>
      </c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5">
        <f>MAX(ROUND(502*(CY299/L299), 0),1)</f>
        <v>502</v>
      </c>
      <c r="AZ299" s="4"/>
      <c r="BA299" s="4"/>
      <c r="BB299" s="5">
        <f>MAX(ROUND(625*(CY299/L299), 0),1)</f>
        <v>625</v>
      </c>
      <c r="BC299" s="4"/>
      <c r="BD299" s="4"/>
      <c r="BE299" s="5">
        <f>MAX(ROUND(965*(CY299/L299), 0),1)</f>
        <v>965</v>
      </c>
      <c r="BF299" s="4"/>
      <c r="BG299" s="4"/>
      <c r="BH299" s="4"/>
      <c r="BI299" s="5">
        <f>MAX(ROUND(635*(CY299/L299), 0),1)</f>
        <v>635</v>
      </c>
      <c r="BJ299" s="4"/>
      <c r="BK299" s="4"/>
      <c r="BL299" s="4"/>
      <c r="BM299" s="4"/>
      <c r="BN299" s="4"/>
      <c r="BO299" s="5">
        <f>MAX(ROUND(391*(CY299/L299), 0),1)</f>
        <v>391</v>
      </c>
      <c r="BP299" s="4"/>
      <c r="BQ299" s="4"/>
      <c r="BR299" s="4"/>
      <c r="BS299" s="4"/>
      <c r="BT299" s="5">
        <f>MAX(ROUND(411*(CY299/L299), 0),1)</f>
        <v>411</v>
      </c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2">
        <v>3529</v>
      </c>
      <c r="CZ299" s="2">
        <f>SUM(M299:CX299)</f>
        <v>3529</v>
      </c>
      <c r="DA299" s="9">
        <v>4.5</v>
      </c>
      <c r="DB299" s="9">
        <v>9</v>
      </c>
    </row>
    <row r="300" spans="1:106" ht="60" customHeight="1">
      <c r="A300" s="2" t="s">
        <v>1</v>
      </c>
      <c r="B300" s="2" t="s">
        <v>2</v>
      </c>
      <c r="C300" s="2" t="s">
        <v>7</v>
      </c>
      <c r="D300" s="2"/>
      <c r="E300" s="2" t="s">
        <v>13</v>
      </c>
      <c r="F300" s="2" t="s">
        <v>368</v>
      </c>
      <c r="G300" s="2">
        <v>75</v>
      </c>
      <c r="H300" s="2" t="s">
        <v>7</v>
      </c>
      <c r="I300" s="2" t="s">
        <v>14</v>
      </c>
      <c r="J300" s="2" t="s">
        <v>405</v>
      </c>
      <c r="K300" s="2">
        <v>70552653</v>
      </c>
      <c r="L300" s="3">
        <v>2152</v>
      </c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5"/>
      <c r="AZ300" s="4"/>
      <c r="BA300" s="4"/>
      <c r="BB300" s="5">
        <f>MAX(ROUND(300*(CY300/L300), 0),1)</f>
        <v>300</v>
      </c>
      <c r="BC300" s="4"/>
      <c r="BD300" s="4"/>
      <c r="BE300" s="5">
        <f>MAX(ROUND(356*(CY300/L300), 0),1)</f>
        <v>356</v>
      </c>
      <c r="BF300" s="4"/>
      <c r="BG300" s="4"/>
      <c r="BH300" s="4"/>
      <c r="BI300" s="5">
        <f>MAX(ROUND(509*(CY300/L300), 0),1)</f>
        <v>509</v>
      </c>
      <c r="BJ300" s="4"/>
      <c r="BK300" s="4"/>
      <c r="BL300" s="4"/>
      <c r="BM300" s="4"/>
      <c r="BN300" s="4"/>
      <c r="BO300" s="5">
        <f>MAX(ROUND(688*(CY300/L300), 0),1)</f>
        <v>688</v>
      </c>
      <c r="BP300" s="4"/>
      <c r="BQ300" s="4"/>
      <c r="BR300" s="4"/>
      <c r="BS300" s="4"/>
      <c r="BT300" s="5">
        <f>MAX(ROUND(299*(CY300/L300), 0),1)</f>
        <v>299</v>
      </c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2">
        <v>2152</v>
      </c>
      <c r="CZ300" s="2">
        <f>SUM(M300:CX300)</f>
        <v>2152</v>
      </c>
      <c r="DA300" s="9">
        <v>4.5</v>
      </c>
      <c r="DB300" s="9">
        <v>9</v>
      </c>
    </row>
    <row r="301" spans="1:106" ht="15"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Z301" s="10">
        <f>SUM(CZ3:CZ300)</f>
        <v>55005</v>
      </c>
    </row>
    <row r="302" spans="1:106"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</row>
    <row r="303" spans="1:106"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</row>
  </sheetData>
  <mergeCells count="2">
    <mergeCell ref="A1:F1"/>
    <mergeCell ref="M1:CX1"/>
  </mergeCells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Stocks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lastModifiedBy>Dators</cp:lastModifiedBy>
  <dcterms:created xsi:type="dcterms:W3CDTF">2024-07-05T13:26:39Z</dcterms:created>
  <dcterms:modified xsi:type="dcterms:W3CDTF">2024-07-30T09:33:04Z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ILE_TYPE">
    <vt:lpwstr>RAV_B2B</vt:lpwstr>
  </property>
  <property fmtid="{D5CDD505-2E9C-101B-9397-08002B2CF9AE}" pid="3" name="NAME_MAGASIN">
    <vt:lpwstr>Magasin</vt:lpwstr>
  </property>
  <property fmtid="{D5CDD505-2E9C-101B-9397-08002B2CF9AE}" pid="4" name="NAME_TAILLES">
    <vt:lpwstr>Tailles</vt:lpwstr>
  </property>
  <property fmtid="{D5CDD505-2E9C-101B-9397-08002B2CF9AE}" pid="5" name="NAME_PRIXSPEC">
    <vt:lpwstr>Prix Tarif HT</vt:lpwstr>
  </property>
  <property fmtid="{D5CDD505-2E9C-101B-9397-08002B2CF9AE}" pid="6" name="NAME_REFERENCE_PRODUIT">
    <vt:lpwstr>Reference Interne</vt:lpwstr>
  </property>
  <property fmtid="{D5CDD505-2E9C-101B-9397-08002B2CF9AE}" pid="7" name="NAME_REFERENCE_NEGOCE">
    <vt:lpwstr>Reference Négoce</vt:lpwstr>
  </property>
  <property fmtid="{D5CDD505-2E9C-101B-9397-08002B2CF9AE}" pid="8" name="ENTETE_SHEET">
    <vt:lpwstr>Entête Commande</vt:lpwstr>
  </property>
  <property fmtid="{D5CDD505-2E9C-101B-9397-08002B2CF9AE}" pid="9" name="DATAS_SHEET">
    <vt:lpwstr>Stocks</vt:lpwstr>
  </property>
  <property fmtid="{D5CDD505-2E9C-101B-9397-08002B2CF9AE}" pid="10" name="NAME_PRIXSPEC_REMISE">
    <vt:lpwstr>Remise</vt:lpwstr>
  </property>
</Properties>
</file>